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4400" yWindow="0" windowWidth="14400" windowHeight="16460"/>
  </bookViews>
  <sheets>
    <sheet name="Air equil H2O" sheetId="1" r:id="rId1"/>
    <sheet name="Sample analysi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X23" i="1"/>
  <c r="L23" i="1"/>
  <c r="R23" i="1"/>
  <c r="AJ23" i="1"/>
  <c r="K23" i="1"/>
  <c r="AD23" i="1"/>
  <c r="G23" i="1"/>
  <c r="AP23" i="1"/>
  <c r="BB23" i="1"/>
  <c r="BF23" i="1"/>
  <c r="V23" i="1"/>
  <c r="P23" i="1"/>
  <c r="AH23" i="1"/>
  <c r="AB23" i="1"/>
  <c r="AN23" i="1"/>
  <c r="AZ23" i="1"/>
  <c r="BE23" i="1"/>
  <c r="W23" i="1"/>
  <c r="Q23" i="1"/>
  <c r="AI23" i="1"/>
  <c r="AC23" i="1"/>
  <c r="AO23" i="1"/>
  <c r="BA23" i="1"/>
  <c r="U23" i="1"/>
  <c r="O23" i="1"/>
  <c r="AG23" i="1"/>
  <c r="AA23" i="1"/>
  <c r="AM23" i="1"/>
  <c r="AY23" i="1"/>
  <c r="T23" i="1"/>
  <c r="N23" i="1"/>
  <c r="AF23" i="1"/>
  <c r="Z23" i="1"/>
  <c r="AL23" i="1"/>
  <c r="AX23" i="1"/>
  <c r="S23" i="1"/>
  <c r="M23" i="1"/>
  <c r="AE23" i="1"/>
  <c r="Y23" i="1"/>
  <c r="AK23" i="1"/>
  <c r="AW23" i="1"/>
  <c r="AV23" i="1"/>
  <c r="AU23" i="1"/>
  <c r="AT23" i="1"/>
  <c r="AS23" i="1"/>
  <c r="AR23" i="1"/>
  <c r="AQ23" i="1"/>
  <c r="J22" i="1"/>
  <c r="X22" i="1"/>
  <c r="L22" i="1"/>
  <c r="R22" i="1"/>
  <c r="AJ22" i="1"/>
  <c r="K22" i="1"/>
  <c r="AD22" i="1"/>
  <c r="G22" i="1"/>
  <c r="AP22" i="1"/>
  <c r="BB22" i="1"/>
  <c r="V22" i="1"/>
  <c r="P22" i="1"/>
  <c r="AH22" i="1"/>
  <c r="AB22" i="1"/>
  <c r="AN22" i="1"/>
  <c r="AZ22" i="1"/>
  <c r="BD22" i="1"/>
  <c r="BC22" i="1"/>
  <c r="W22" i="1"/>
  <c r="Q22" i="1"/>
  <c r="AI22" i="1"/>
  <c r="AC22" i="1"/>
  <c r="AO22" i="1"/>
  <c r="BA22" i="1"/>
  <c r="U22" i="1"/>
  <c r="O22" i="1"/>
  <c r="AG22" i="1"/>
  <c r="AA22" i="1"/>
  <c r="AM22" i="1"/>
  <c r="AY22" i="1"/>
  <c r="T22" i="1"/>
  <c r="N22" i="1"/>
  <c r="AF22" i="1"/>
  <c r="Z22" i="1"/>
  <c r="AL22" i="1"/>
  <c r="AX22" i="1"/>
  <c r="S22" i="1"/>
  <c r="M22" i="1"/>
  <c r="AE22" i="1"/>
  <c r="Y22" i="1"/>
  <c r="AK22" i="1"/>
  <c r="AW22" i="1"/>
  <c r="AV22" i="1"/>
  <c r="AU22" i="1"/>
  <c r="AT22" i="1"/>
  <c r="AS22" i="1"/>
  <c r="AR22" i="1"/>
  <c r="AQ22" i="1"/>
  <c r="O20" i="2"/>
  <c r="AO20" i="2"/>
  <c r="W20" i="2"/>
  <c r="AC20" i="2"/>
  <c r="AU20" i="2"/>
  <c r="BA20" i="2"/>
  <c r="AI20" i="2"/>
  <c r="BG20" i="2"/>
  <c r="N20" i="2"/>
  <c r="AN20" i="2"/>
  <c r="AB20" i="2"/>
  <c r="AT20" i="2"/>
  <c r="AZ20" i="2"/>
  <c r="AH20" i="2"/>
  <c r="BF20" i="2"/>
  <c r="M20" i="2"/>
  <c r="AM20" i="2"/>
  <c r="AA20" i="2"/>
  <c r="AS20" i="2"/>
  <c r="AY20" i="2"/>
  <c r="AG20" i="2"/>
  <c r="BE20" i="2"/>
  <c r="J20" i="2"/>
  <c r="K20" i="2"/>
  <c r="L20" i="2"/>
  <c r="AL20" i="2"/>
  <c r="Z20" i="2"/>
  <c r="AR20" i="2"/>
  <c r="AX20" i="2"/>
  <c r="R20" i="2"/>
  <c r="S20" i="2"/>
  <c r="AF20" i="2"/>
  <c r="BD20" i="2"/>
  <c r="AK20" i="2"/>
  <c r="Y20" i="2"/>
  <c r="AQ20" i="2"/>
  <c r="AW20" i="2"/>
  <c r="AE20" i="2"/>
  <c r="BC20" i="2"/>
  <c r="I20" i="2"/>
  <c r="AJ20" i="2"/>
  <c r="X20" i="2"/>
  <c r="AP20" i="2"/>
  <c r="AV20" i="2"/>
  <c r="AD20" i="2"/>
  <c r="BB20" i="2"/>
  <c r="O19" i="2"/>
  <c r="AO19" i="2"/>
  <c r="W19" i="2"/>
  <c r="AC19" i="2"/>
  <c r="AU19" i="2"/>
  <c r="BA19" i="2"/>
  <c r="AI19" i="2"/>
  <c r="BG19" i="2"/>
  <c r="N19" i="2"/>
  <c r="AN19" i="2"/>
  <c r="AB19" i="2"/>
  <c r="AT19" i="2"/>
  <c r="AZ19" i="2"/>
  <c r="AH19" i="2"/>
  <c r="BF19" i="2"/>
  <c r="M19" i="2"/>
  <c r="AM19" i="2"/>
  <c r="AA19" i="2"/>
  <c r="AS19" i="2"/>
  <c r="AY19" i="2"/>
  <c r="AG19" i="2"/>
  <c r="BE19" i="2"/>
  <c r="J19" i="2"/>
  <c r="K19" i="2"/>
  <c r="L19" i="2"/>
  <c r="AL19" i="2"/>
  <c r="Z19" i="2"/>
  <c r="AR19" i="2"/>
  <c r="AX19" i="2"/>
  <c r="R19" i="2"/>
  <c r="S19" i="2"/>
  <c r="AF19" i="2"/>
  <c r="BD19" i="2"/>
  <c r="AK19" i="2"/>
  <c r="Y19" i="2"/>
  <c r="AQ19" i="2"/>
  <c r="AW19" i="2"/>
  <c r="AE19" i="2"/>
  <c r="BC19" i="2"/>
  <c r="I19" i="2"/>
  <c r="AJ19" i="2"/>
  <c r="X19" i="2"/>
  <c r="AP19" i="2"/>
  <c r="AV19" i="2"/>
  <c r="AD19" i="2"/>
  <c r="BB19" i="2"/>
  <c r="E20" i="2"/>
  <c r="E19" i="2"/>
</calcChain>
</file>

<file path=xl/comments1.xml><?xml version="1.0" encoding="utf-8"?>
<comments xmlns="http://schemas.openxmlformats.org/spreadsheetml/2006/main">
  <authors>
    <author>Stephen K. Hamilton</author>
  </authors>
  <commentList>
    <comment ref="F19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Can be measured directly or estimated from altitude; not corrected for vapor pressure of water</t>
        </r>
      </text>
    </comment>
    <comment ref="G19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Considered same as barometric P for the  default value</t>
        </r>
      </text>
    </comment>
    <comment ref="L19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Assumes water-saturated air at streamwater temperature; equation from Benson and Krause (1980)</t>
        </r>
      </text>
    </comment>
    <comment ref="R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Mixing ratio for air is from "Trends…" through Keeling's web page, 2002</t>
        </r>
      </text>
    </comment>
    <comment ref="S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(1974)</t>
        </r>
      </text>
    </comment>
    <comment ref="T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(1970)</t>
        </r>
      </text>
    </comment>
    <comment ref="U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Benson and Krause (1980)</t>
        </r>
      </text>
    </comment>
    <comment ref="V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(1970)</t>
        </r>
      </text>
    </comment>
    <comment ref="W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Yamamoto et al. (1976)</t>
        </r>
      </text>
    </comment>
    <comment ref="X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and Price (1980) equation gives Henry's K in mol/L-atm which is converted to L/L-atm using Ideal Gas Law at STP</t>
        </r>
      </text>
    </comment>
    <comment ref="Y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(1974)</t>
        </r>
      </text>
    </comment>
    <comment ref="Z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(1970)</t>
        </r>
      </text>
    </comment>
    <comment ref="AA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Benson and Krause (1980)</t>
        </r>
      </text>
    </comment>
    <comment ref="AB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(1970)</t>
        </r>
      </text>
    </comment>
    <comment ref="AC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Yamamoto et al. (1976)</t>
        </r>
      </text>
    </comment>
    <comment ref="AD20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and Price (1980) equation gives Henry's K in mol/L-atm which is converted to L/L-atm using Ideal Gas Law at STP</t>
        </r>
      </text>
    </comment>
  </commentList>
</comments>
</file>

<file path=xl/comments2.xml><?xml version="1.0" encoding="utf-8"?>
<comments xmlns="http://schemas.openxmlformats.org/spreadsheetml/2006/main">
  <authors>
    <author>Stephen K. Hamilton</author>
  </authors>
  <commentList>
    <comment ref="D16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Can be measured directly or estimated from altitude; not corrected for vapor pressure of water</t>
        </r>
      </text>
    </comment>
    <comment ref="E16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Considered same as barometric P for the  default value</t>
        </r>
      </text>
    </comment>
    <comment ref="J17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These are often measured together by GC-TCD</t>
        </r>
      </text>
    </comment>
    <comment ref="K17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Assumes headspace N2:Ar mole ratio is 38.6 (true for 25 C)</t>
        </r>
      </text>
    </comment>
    <comment ref="R17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Assumes headspace N2:Ar mole ratio is 38.6 (true for 25 C)</t>
        </r>
      </text>
    </comment>
    <comment ref="X17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(1974)</t>
        </r>
      </text>
    </comment>
    <comment ref="Y17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(1970)</t>
        </r>
      </text>
    </comment>
    <comment ref="Z17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Benson and Krause (1980)</t>
        </r>
      </text>
    </comment>
    <comment ref="AA17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(1970)</t>
        </r>
      </text>
    </comment>
    <comment ref="AB17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Yamamoto et al. (1976)</t>
        </r>
      </text>
    </comment>
    <comment ref="AC17" authorId="0">
      <text>
        <r>
          <rPr>
            <b/>
            <sz val="8"/>
            <color indexed="81"/>
            <rFont val="Tahoma"/>
          </rPr>
          <t>Stephen K. Hamilton:</t>
        </r>
        <r>
          <rPr>
            <sz val="8"/>
            <color indexed="81"/>
            <rFont val="Tahoma"/>
          </rPr>
          <t xml:space="preserve">
Weiss and Price (1980) equation gives Henry's K in mol/L-atm which is converted to L/L-atm using Ideal Gas Law at STP</t>
        </r>
      </text>
    </comment>
  </commentList>
</comments>
</file>

<file path=xl/sharedStrings.xml><?xml version="1.0" encoding="utf-8"?>
<sst xmlns="http://schemas.openxmlformats.org/spreadsheetml/2006/main" count="359" uniqueCount="86">
  <si>
    <t>S. Hamilton</t>
  </si>
  <si>
    <t xml:space="preserve">          1. Enter headspace and liquid volumes for static headspace equilibration</t>
  </si>
  <si>
    <t>headspace</t>
  </si>
  <si>
    <t>liquid</t>
  </si>
  <si>
    <t>vessel</t>
  </si>
  <si>
    <t>-</t>
  </si>
  <si>
    <t xml:space="preserve">     --------------</t>
  </si>
  <si>
    <t xml:space="preserve">     -------------</t>
  </si>
  <si>
    <t>code</t>
  </si>
  <si>
    <t>volume(L)</t>
  </si>
  <si>
    <t>P (atm)</t>
  </si>
  <si>
    <t xml:space="preserve">    CO2</t>
  </si>
  <si>
    <t xml:space="preserve">    O2</t>
  </si>
  <si>
    <t xml:space="preserve">    Ar</t>
  </si>
  <si>
    <t xml:space="preserve">    N2</t>
  </si>
  <si>
    <t xml:space="preserve">    CH4</t>
  </si>
  <si>
    <t>=</t>
  </si>
  <si>
    <t>Static headspace equilibrium analysis of dissolved gases</t>
  </si>
  <si>
    <t>Original liquid concentrations appear at end.</t>
  </si>
  <si>
    <t xml:space="preserve">     ------------</t>
  </si>
  <si>
    <t xml:space="preserve">   ----------------</t>
  </si>
  <si>
    <t xml:space="preserve">    -------------</t>
  </si>
  <si>
    <t xml:space="preserve">    O2+Ar</t>
  </si>
  <si>
    <t>Ar(est'd)</t>
  </si>
  <si>
    <t xml:space="preserve"> O2(est'd)</t>
  </si>
  <si>
    <t>Prediction of gas ratios after static headspace equilibration of air-equilibrated pure water</t>
  </si>
  <si>
    <t xml:space="preserve">          3. Enter temperature (deg C) at which water was originally air-equilibrated</t>
  </si>
  <si>
    <t xml:space="preserve">          4. Enter temperature (deg C) at which the static headspace equilibration took place</t>
  </si>
  <si>
    <t>References for solubility:</t>
  </si>
  <si>
    <t>Yamamoto, S., J.B. Alcauskas, and  T.E. Crozier. 1976. Solubility of methane in distilled water and seawater. J. Chem. Eng. Data 21: 78-80.</t>
  </si>
  <si>
    <t>Weiss, R.F. 1970. The solubility of nitrogen, oxygen and argon in water and seawater. Deep-Sea Res. 17: 721-735.</t>
  </si>
  <si>
    <t>Weiss, R.F. 1974. Carbon dioxide in water and seawater: The solubility of a non-ideal gas. Mar. Chem. 2: 203-215.</t>
  </si>
  <si>
    <t>Benson, B.B. and D. Krause, Jr. 1984. The concentration and isotopic fractionation of gases dissolved in freshwater in equilibrium with the atmosphere. 1. Oxygen. Limnol. Oceanogr. 25: 662-671.</t>
  </si>
  <si>
    <t>Weiss, R.F. and B.A. Price. 1980. Nitrous oxide solubility in water and seawater. Mar. Chem. 8: 347-359</t>
  </si>
  <si>
    <t>N2O</t>
  </si>
  <si>
    <t xml:space="preserve">      Final headspace mixing ratio (ppmv) </t>
  </si>
  <si>
    <t>equilibr.temp.</t>
  </si>
  <si>
    <t>air-water</t>
  </si>
  <si>
    <t>(deg C)</t>
  </si>
  <si>
    <t>(deg K)</t>
  </si>
  <si>
    <t>Copy the sample row and fill in the following data (yellowed cells):</t>
  </si>
  <si>
    <t xml:space="preserve">          5. If used, the source gas for headspace creation is assumed to be free of the analyte gases</t>
  </si>
  <si>
    <t xml:space="preserve">     3) Headspace and liquid volumes</t>
  </si>
  <si>
    <t xml:space="preserve">     4) Temperature at which the equilibration was performed (deg C)</t>
  </si>
  <si>
    <t xml:space="preserve">     5)  Source gas mixing ratios in ppmv (if source gas is impure)</t>
  </si>
  <si>
    <t xml:space="preserve">    Source gas mixing ratios (ppmv)(if gas is impure)</t>
  </si>
  <si>
    <t xml:space="preserve">     Calculations are for analysis of unknown samples</t>
  </si>
  <si>
    <t xml:space="preserve">     Calculations assume water of negligible salinity</t>
  </si>
  <si>
    <t xml:space="preserve">     Final headspace conc. (μmol/L)</t>
  </si>
  <si>
    <t xml:space="preserve">       Source gas conc. (μmol/L)</t>
  </si>
  <si>
    <t xml:space="preserve">      Final liquid conc. (μmol/L)</t>
  </si>
  <si>
    <t xml:space="preserve">      Total gas in system (μmoles)</t>
  </si>
  <si>
    <t>equil.</t>
  </si>
  <si>
    <t>barometric</t>
  </si>
  <si>
    <t xml:space="preserve">     1) Sample ID</t>
  </si>
  <si>
    <t>Vapor P</t>
  </si>
  <si>
    <t>(atm)</t>
  </si>
  <si>
    <t xml:space="preserve">         Assumed atmospheric air mixing ratios in moist air (atm)</t>
  </si>
  <si>
    <t>Ar</t>
  </si>
  <si>
    <t>N2</t>
  </si>
  <si>
    <t>CH4</t>
  </si>
  <si>
    <t xml:space="preserve">         Concentrations in water body at atmos-equilibrium (μmol/L)</t>
  </si>
  <si>
    <t xml:space="preserve">      Final headspace concentration in vessel (μmol/L)</t>
  </si>
  <si>
    <t xml:space="preserve">      Total micromoles of gas in headspace</t>
  </si>
  <si>
    <t xml:space="preserve">      Final headspace mixing ratio (ppmv) (MEASURED in yellow cells)</t>
  </si>
  <si>
    <t>O2</t>
  </si>
  <si>
    <t xml:space="preserve">     Original liquid concentration (μmol/L)</t>
  </si>
  <si>
    <t>Using LINX 2 low-elevation protocol</t>
  </si>
  <si>
    <t>μmoles in exetainer:</t>
  </si>
  <si>
    <t>Using LINX 2 high-elevation protocol</t>
  </si>
  <si>
    <t xml:space="preserve">          2. Enter barometric P and P of headspace equilibration vessel (for high altitude, you can use a converter like at http://taja.dynip.com/baropres.htm)</t>
  </si>
  <si>
    <t xml:space="preserve">     2. Enter barometric P and P of headspace equilibration vessel (for high altitude, you can use a converter like at http://taja.dynip.com/baropres.htm)</t>
  </si>
  <si>
    <t xml:space="preserve">          7. Quantities of gas expected in LINX 2 samples are given at the end</t>
  </si>
  <si>
    <t xml:space="preserve">          6. Final headspace mixing ratios are calculated</t>
  </si>
  <si>
    <t xml:space="preserve">       Bunsen solubility coefficients for original air-water equilibration (L/L-atm)</t>
  </si>
  <si>
    <t xml:space="preserve">   Bunsen solubility coefficients for headspace equilibration in vessel L/L-atm)</t>
  </si>
  <si>
    <t>S. Hamilton, revised Nov 2003</t>
  </si>
  <si>
    <t>EXAMPLE: Air-equilibrated water, 25 C and zero elevation (LINX)</t>
  </si>
  <si>
    <t>EXAMPLE: Air-equilibrated water, 10 C and 7500 feet elev. (LINX)</t>
  </si>
  <si>
    <t xml:space="preserve">     6)  Final measured headspace mixing ratios (ppmv); Example data use calculated values on "Air-equil H2O" worksheet</t>
  </si>
  <si>
    <t>Experiment</t>
  </si>
  <si>
    <t>Exetainer</t>
  </si>
  <si>
    <t>Station</t>
  </si>
  <si>
    <t>Dec 2003 version</t>
  </si>
  <si>
    <t>N2O bunsen coeff formula from Weiss and Price is actually for F; see revision for formula with K</t>
  </si>
  <si>
    <t>Slightly changes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</si>
</sst>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0_)"/>
    <numFmt numFmtId="166" formatCode="0.00_)"/>
    <numFmt numFmtId="167" formatCode="0.000_)"/>
    <numFmt numFmtId="168" formatCode="0.00000_)"/>
    <numFmt numFmtId="169" formatCode="0_)"/>
    <numFmt numFmtId="170" formatCode="0.0_)"/>
    <numFmt numFmtId="171" formatCode="0.000000_)"/>
    <numFmt numFmtId="172" formatCode="0.0000000_)"/>
    <numFmt numFmtId="173" formatCode="0.000"/>
    <numFmt numFmtId="174" formatCode="0.00000"/>
    <numFmt numFmtId="175" formatCode="0.0000"/>
    <numFmt numFmtId="176" formatCode="0.0"/>
    <numFmt numFmtId="177" formatCode="0.0000000"/>
    <numFmt numFmtId="178" formatCode="0.000000"/>
    <numFmt numFmtId="179" formatCode="0.000E+00"/>
    <numFmt numFmtId="182" formatCode="0.000E+00_)"/>
  </numFmts>
  <fonts count="7" x14ac:knownFonts="1">
    <font>
      <sz val="12"/>
      <name val="Arial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 applyProtection="1"/>
    <xf numFmtId="0" fontId="0" fillId="0" borderId="0" xfId="0" applyAlignment="1">
      <alignment horizontal="fill"/>
    </xf>
    <xf numFmtId="0" fontId="1" fillId="0" borderId="0" xfId="0" applyFont="1"/>
    <xf numFmtId="0" fontId="0" fillId="0" borderId="0" xfId="0" applyProtection="1"/>
    <xf numFmtId="11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0" borderId="0" xfId="0" applyFill="1"/>
    <xf numFmtId="173" fontId="0" fillId="2" borderId="0" xfId="0" applyNumberFormat="1" applyFill="1"/>
    <xf numFmtId="166" fontId="0" fillId="2" borderId="0" xfId="0" applyNumberFormat="1" applyFill="1" applyProtection="1"/>
    <xf numFmtId="169" fontId="0" fillId="2" borderId="0" xfId="0" applyNumberFormat="1" applyFill="1" applyProtection="1"/>
    <xf numFmtId="176" fontId="0" fillId="2" borderId="0" xfId="0" applyNumberFormat="1" applyFill="1"/>
    <xf numFmtId="0" fontId="4" fillId="0" borderId="0" xfId="0" applyFont="1"/>
    <xf numFmtId="174" fontId="0" fillId="2" borderId="0" xfId="0" applyNumberFormat="1" applyFill="1"/>
    <xf numFmtId="177" fontId="0" fillId="2" borderId="0" xfId="0" applyNumberFormat="1" applyFill="1"/>
    <xf numFmtId="166" fontId="0" fillId="0" borderId="0" xfId="0" applyNumberFormat="1" applyFill="1" applyProtection="1"/>
    <xf numFmtId="164" fontId="0" fillId="0" borderId="0" xfId="0" applyNumberFormat="1" applyFill="1" applyProtection="1"/>
    <xf numFmtId="168" fontId="0" fillId="0" borderId="0" xfId="0" applyNumberFormat="1" applyFill="1" applyProtection="1"/>
    <xf numFmtId="174" fontId="0" fillId="0" borderId="0" xfId="0" applyNumberFormat="1" applyFill="1" applyProtection="1"/>
    <xf numFmtId="2" fontId="0" fillId="0" borderId="0" xfId="0" applyNumberFormat="1" applyFill="1"/>
    <xf numFmtId="176" fontId="0" fillId="0" borderId="0" xfId="0" applyNumberFormat="1" applyFill="1"/>
    <xf numFmtId="169" fontId="0" fillId="0" borderId="0" xfId="0" applyNumberFormat="1" applyFill="1" applyProtection="1"/>
    <xf numFmtId="174" fontId="0" fillId="0" borderId="0" xfId="0" applyNumberFormat="1" applyFill="1"/>
    <xf numFmtId="177" fontId="0" fillId="0" borderId="0" xfId="0" applyNumberFormat="1" applyFill="1"/>
    <xf numFmtId="171" fontId="0" fillId="0" borderId="0" xfId="0" applyNumberFormat="1" applyFill="1" applyProtection="1"/>
    <xf numFmtId="167" fontId="0" fillId="0" borderId="0" xfId="0" applyNumberFormat="1" applyFill="1" applyProtection="1"/>
    <xf numFmtId="179" fontId="0" fillId="0" borderId="0" xfId="0" applyNumberFormat="1" applyFill="1" applyProtection="1"/>
    <xf numFmtId="172" fontId="0" fillId="0" borderId="0" xfId="0" applyNumberFormat="1" applyFill="1" applyProtection="1"/>
    <xf numFmtId="0" fontId="0" fillId="0" borderId="0" xfId="0" applyFill="1" applyAlignment="1">
      <alignment horizontal="fill"/>
    </xf>
    <xf numFmtId="1" fontId="0" fillId="0" borderId="0" xfId="0" applyNumberFormat="1" applyFill="1" applyAlignment="1">
      <alignment horizontal="fill"/>
    </xf>
    <xf numFmtId="173" fontId="0" fillId="0" borderId="0" xfId="0" applyNumberFormat="1" applyFill="1"/>
    <xf numFmtId="179" fontId="0" fillId="0" borderId="0" xfId="0" applyNumberFormat="1" applyFill="1"/>
    <xf numFmtId="175" fontId="0" fillId="0" borderId="0" xfId="0" applyNumberFormat="1" applyFill="1"/>
    <xf numFmtId="11" fontId="0" fillId="0" borderId="0" xfId="0" applyNumberFormat="1" applyFill="1"/>
    <xf numFmtId="173" fontId="0" fillId="0" borderId="0" xfId="0" applyNumberFormat="1" applyFill="1" applyProtection="1"/>
    <xf numFmtId="2" fontId="0" fillId="0" borderId="0" xfId="0" applyNumberFormat="1" applyFill="1" applyProtection="1"/>
    <xf numFmtId="178" fontId="0" fillId="0" borderId="0" xfId="0" applyNumberFormat="1" applyFill="1" applyProtection="1"/>
    <xf numFmtId="182" fontId="0" fillId="0" borderId="0" xfId="0" applyNumberFormat="1" applyFill="1" applyProtection="1"/>
    <xf numFmtId="173" fontId="5" fillId="0" borderId="0" xfId="0" applyNumberFormat="1" applyFont="1" applyFill="1" applyProtection="1"/>
    <xf numFmtId="174" fontId="5" fillId="0" borderId="0" xfId="0" applyNumberFormat="1" applyFont="1" applyFill="1" applyProtection="1"/>
    <xf numFmtId="170" fontId="0" fillId="0" borderId="0" xfId="0" applyNumberFormat="1" applyFill="1" applyProtection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fill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114300</xdr:colOff>
      <xdr:row>6</xdr:row>
      <xdr:rowOff>0</xdr:rowOff>
    </xdr:from>
    <xdr:to>
      <xdr:col>57</xdr:col>
      <xdr:colOff>1003300</xdr:colOff>
      <xdr:row>15</xdr:row>
      <xdr:rowOff>38100</xdr:rowOff>
    </xdr:to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52476400" y="1143000"/>
          <a:ext cx="4775200" cy="1752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LINX 2 protocol for 2003 (unless noted otherwise):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Low elevation sites inject about 14 mL into the 12.3-mL Exetainer (assuming 1 mL is deadspace between the syringe and vial).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High elevation sites inject about 19 mL into the Exetainer.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UC Davis measures all of the N2O in the Exetainer, but takes a 10-uL subsample for N2 after flushing the contents into a He carrier stream at 1.75 atm.  Standards containing 1.1 ppmv N2O in N2 at atmospheric pressure relate the 10-uL molar qty to the reported molar qty.</a:t>
          </a:r>
        </a:p>
      </xdr:txBody>
    </xdr:sp>
    <xdr:clientData/>
  </xdr:twoCellAnchor>
  <xdr:twoCellAnchor>
    <xdr:from>
      <xdr:col>0</xdr:col>
      <xdr:colOff>495300</xdr:colOff>
      <xdr:row>1</xdr:row>
      <xdr:rowOff>114300</xdr:rowOff>
    </xdr:from>
    <xdr:to>
      <xdr:col>0</xdr:col>
      <xdr:colOff>4394200</xdr:colOff>
      <xdr:row>7</xdr:row>
      <xdr:rowOff>88900</xdr:rowOff>
    </xdr:to>
    <xdr:sp macro="" textlink="">
      <xdr:nvSpPr>
        <xdr:cNvPr id="1127" name="Text Box 103"/>
        <xdr:cNvSpPr txBox="1">
          <a:spLocks noChangeArrowheads="1"/>
        </xdr:cNvSpPr>
      </xdr:nvSpPr>
      <xdr:spPr bwMode="auto">
        <a:xfrm>
          <a:off x="495300" y="304800"/>
          <a:ext cx="3898900" cy="1117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LINX 2 protocol for 2003 (unless noted otherwise):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Low elevation sites have liquid vol ~ 0.041 L and gas volume ~0.019 L.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High elevation sites have liquid vol ~ 0.036 L and gas volume ~0.024 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774700</xdr:colOff>
      <xdr:row>3</xdr:row>
      <xdr:rowOff>0</xdr:rowOff>
    </xdr:from>
    <xdr:to>
      <xdr:col>13</xdr:col>
      <xdr:colOff>914400</xdr:colOff>
      <xdr:row>8</xdr:row>
      <xdr:rowOff>165100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3042900" y="571500"/>
          <a:ext cx="3898900" cy="1117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LINX 2 protocol for 2003 (unless noted otherwise):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Low elevation sites have liquid vol ~ 0.041 L and gas volume ~0.019 L.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High elevation sites have liquid vol ~ 0.036 L and gas volume ~0.024 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enableFormatConditionsCalculation="0"/>
  <dimension ref="A1:BF25"/>
  <sheetViews>
    <sheetView tabSelected="1" showRuler="0" defaultGridColor="0" topLeftCell="AX1" colorId="22" zoomScale="87" workbookViewId="0">
      <selection activeCell="BC22" sqref="BC22"/>
    </sheetView>
  </sheetViews>
  <sheetFormatPr baseColWidth="10" defaultColWidth="9.5703125" defaultRowHeight="15" x14ac:dyDescent="0"/>
  <cols>
    <col min="1" max="1" width="57.42578125" customWidth="1"/>
    <col min="3" max="3" width="11.28515625" customWidth="1"/>
    <col min="4" max="5" width="9.85546875" bestFit="1" customWidth="1"/>
    <col min="6" max="6" width="9.85546875" customWidth="1"/>
    <col min="7" max="7" width="9.85546875" bestFit="1" customWidth="1"/>
    <col min="8" max="9" width="10.42578125" customWidth="1"/>
    <col min="10" max="10" width="12.140625" customWidth="1"/>
    <col min="11" max="12" width="11.5703125" customWidth="1"/>
    <col min="13" max="15" width="9.85546875" bestFit="1" customWidth="1"/>
    <col min="16" max="16" width="8.140625" customWidth="1"/>
    <col min="17" max="17" width="9.42578125" customWidth="1"/>
    <col min="18" max="18" width="9.5703125" customWidth="1"/>
    <col min="19" max="19" width="10" bestFit="1" customWidth="1"/>
    <col min="20" max="20" width="9.85546875" bestFit="1" customWidth="1"/>
    <col min="21" max="21" width="10.140625" customWidth="1"/>
    <col min="22" max="22" width="10" bestFit="1" customWidth="1"/>
    <col min="23" max="23" width="9.85546875" bestFit="1" customWidth="1"/>
    <col min="24" max="24" width="10.140625" bestFit="1" customWidth="1"/>
    <col min="25" max="27" width="9.85546875" bestFit="1" customWidth="1"/>
    <col min="28" max="29" width="10" bestFit="1" customWidth="1"/>
    <col min="30" max="35" width="9.85546875" bestFit="1" customWidth="1"/>
    <col min="36" max="36" width="10.85546875" customWidth="1"/>
    <col min="37" max="42" width="9.85546875" bestFit="1" customWidth="1"/>
    <col min="43" max="43" width="11.5703125" customWidth="1"/>
    <col min="44" max="51" width="9.85546875" bestFit="1" customWidth="1"/>
    <col min="52" max="52" width="9.140625" customWidth="1"/>
    <col min="53" max="53" width="10.140625" bestFit="1" customWidth="1"/>
    <col min="54" max="54" width="10" bestFit="1" customWidth="1"/>
    <col min="55" max="55" width="14.42578125" customWidth="1"/>
    <col min="56" max="56" width="14.7109375" customWidth="1"/>
    <col min="57" max="57" width="14.5703125" customWidth="1"/>
    <col min="58" max="58" width="14.42578125" customWidth="1"/>
  </cols>
  <sheetData>
    <row r="1" spans="1:43">
      <c r="A1" s="3" t="s">
        <v>25</v>
      </c>
      <c r="E1" t="s">
        <v>83</v>
      </c>
      <c r="G1" t="s">
        <v>0</v>
      </c>
    </row>
    <row r="4" spans="1:43">
      <c r="C4" s="8"/>
      <c r="D4" s="8"/>
    </row>
    <row r="5" spans="1:43">
      <c r="I5" s="4" t="s">
        <v>28</v>
      </c>
      <c r="J5" s="4"/>
    </row>
    <row r="6" spans="1:43">
      <c r="B6" s="8"/>
      <c r="C6" s="8"/>
      <c r="D6" s="8"/>
      <c r="I6" s="4" t="s">
        <v>29</v>
      </c>
      <c r="J6" s="4"/>
    </row>
    <row r="7" spans="1:43">
      <c r="B7" s="8"/>
      <c r="C7" s="8"/>
      <c r="D7" s="8"/>
      <c r="I7" s="4" t="s">
        <v>30</v>
      </c>
      <c r="J7" s="4"/>
    </row>
    <row r="8" spans="1:43">
      <c r="I8" s="4" t="s">
        <v>31</v>
      </c>
      <c r="J8" s="4"/>
    </row>
    <row r="9" spans="1:43">
      <c r="A9" t="s">
        <v>40</v>
      </c>
      <c r="I9" s="4" t="s">
        <v>32</v>
      </c>
      <c r="J9" s="4"/>
      <c r="AC9" s="1"/>
    </row>
    <row r="10" spans="1:43">
      <c r="A10" t="s">
        <v>1</v>
      </c>
      <c r="I10" s="4" t="s">
        <v>33</v>
      </c>
      <c r="J10" s="4"/>
    </row>
    <row r="11" spans="1:43">
      <c r="A11" t="s">
        <v>70</v>
      </c>
      <c r="I11" s="4"/>
    </row>
    <row r="12" spans="1:43">
      <c r="A12" t="s">
        <v>26</v>
      </c>
      <c r="I12" s="3"/>
      <c r="J12" s="3"/>
    </row>
    <row r="13" spans="1:43">
      <c r="A13" t="s">
        <v>27</v>
      </c>
    </row>
    <row r="14" spans="1:43">
      <c r="A14" t="s">
        <v>41</v>
      </c>
    </row>
    <row r="15" spans="1:43">
      <c r="A15" t="s">
        <v>73</v>
      </c>
      <c r="R15" s="5"/>
      <c r="AK15" s="13" t="s">
        <v>84</v>
      </c>
    </row>
    <row r="16" spans="1:43">
      <c r="A16" t="s">
        <v>72</v>
      </c>
      <c r="AK16" s="13" t="s">
        <v>85</v>
      </c>
      <c r="AN16" s="13"/>
      <c r="AO16" s="5"/>
      <c r="AQ16" s="13"/>
    </row>
    <row r="17" spans="1:58" s="3" customFormat="1">
      <c r="G17" s="43" t="s">
        <v>2</v>
      </c>
      <c r="L17" s="43"/>
      <c r="BC17" s="3" t="s">
        <v>68</v>
      </c>
      <c r="BE17" s="3" t="s">
        <v>68</v>
      </c>
    </row>
    <row r="18" spans="1:58" s="3" customFormat="1">
      <c r="G18" s="43" t="s">
        <v>52</v>
      </c>
      <c r="H18" s="43" t="s">
        <v>37</v>
      </c>
      <c r="I18" s="43" t="s">
        <v>2</v>
      </c>
      <c r="J18" s="43" t="s">
        <v>37</v>
      </c>
      <c r="K18" s="43" t="s">
        <v>2</v>
      </c>
      <c r="L18" s="43"/>
      <c r="M18" s="3" t="s">
        <v>57</v>
      </c>
      <c r="S18" s="3" t="s">
        <v>74</v>
      </c>
      <c r="X18" s="43"/>
      <c r="Y18" s="3" t="s">
        <v>75</v>
      </c>
      <c r="AE18" s="3" t="s">
        <v>61</v>
      </c>
      <c r="AK18" s="3" t="s">
        <v>62</v>
      </c>
      <c r="AQ18" s="3" t="s">
        <v>35</v>
      </c>
      <c r="AW18" s="3" t="s">
        <v>63</v>
      </c>
      <c r="BC18" s="3" t="s">
        <v>67</v>
      </c>
      <c r="BE18" s="3" t="s">
        <v>69</v>
      </c>
    </row>
    <row r="19" spans="1:58" s="3" customFormat="1">
      <c r="A19" s="43"/>
      <c r="B19" s="42"/>
      <c r="C19" s="42" t="s">
        <v>81</v>
      </c>
      <c r="D19" s="43" t="s">
        <v>2</v>
      </c>
      <c r="E19" s="43" t="s">
        <v>3</v>
      </c>
      <c r="F19" s="43" t="s">
        <v>53</v>
      </c>
      <c r="G19" s="43" t="s">
        <v>4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55</v>
      </c>
      <c r="M19" s="43" t="s">
        <v>6</v>
      </c>
      <c r="N19" s="44" t="s">
        <v>5</v>
      </c>
      <c r="O19" s="44" t="s">
        <v>5</v>
      </c>
      <c r="P19" s="44" t="s">
        <v>5</v>
      </c>
      <c r="Q19" s="44" t="s">
        <v>5</v>
      </c>
      <c r="R19" s="44"/>
      <c r="S19" s="43" t="s">
        <v>6</v>
      </c>
      <c r="T19" s="44" t="s">
        <v>5</v>
      </c>
      <c r="U19" s="44" t="s">
        <v>5</v>
      </c>
      <c r="V19" s="44" t="s">
        <v>5</v>
      </c>
      <c r="W19" s="44" t="s">
        <v>5</v>
      </c>
      <c r="X19" s="44"/>
      <c r="Y19" s="43" t="s">
        <v>6</v>
      </c>
      <c r="Z19" s="44" t="s">
        <v>5</v>
      </c>
      <c r="AA19" s="44" t="s">
        <v>5</v>
      </c>
      <c r="AB19" s="44" t="s">
        <v>5</v>
      </c>
      <c r="AC19" s="44" t="s">
        <v>5</v>
      </c>
      <c r="AD19" s="44"/>
      <c r="AE19" s="43" t="s">
        <v>6</v>
      </c>
      <c r="AF19" s="44" t="s">
        <v>5</v>
      </c>
      <c r="AG19" s="44" t="s">
        <v>5</v>
      </c>
      <c r="AH19" s="44" t="s">
        <v>5</v>
      </c>
      <c r="AI19" s="44" t="s">
        <v>5</v>
      </c>
      <c r="AJ19" s="44"/>
      <c r="AK19" s="45" t="s">
        <v>7</v>
      </c>
      <c r="AL19" s="44" t="s">
        <v>5</v>
      </c>
      <c r="AM19" s="44" t="s">
        <v>5</v>
      </c>
      <c r="AN19" s="44" t="s">
        <v>5</v>
      </c>
      <c r="AO19" s="44" t="s">
        <v>5</v>
      </c>
      <c r="AP19" s="44"/>
      <c r="AQ19" s="45" t="s">
        <v>7</v>
      </c>
      <c r="AR19" s="44" t="s">
        <v>5</v>
      </c>
      <c r="AS19" s="44" t="s">
        <v>5</v>
      </c>
      <c r="AT19" s="44" t="s">
        <v>5</v>
      </c>
      <c r="AU19" s="44" t="s">
        <v>5</v>
      </c>
      <c r="AV19" s="44"/>
      <c r="AW19" s="45" t="s">
        <v>7</v>
      </c>
      <c r="AX19" s="44" t="s">
        <v>5</v>
      </c>
      <c r="AY19" s="44" t="s">
        <v>5</v>
      </c>
      <c r="AZ19" s="44" t="s">
        <v>5</v>
      </c>
      <c r="BA19" s="44" t="s">
        <v>5</v>
      </c>
      <c r="BB19" s="44"/>
      <c r="BC19" s="44"/>
      <c r="BD19" s="44"/>
      <c r="BE19" s="44"/>
      <c r="BF19" s="44"/>
    </row>
    <row r="20" spans="1:58" s="3" customFormat="1">
      <c r="A20" s="43" t="s">
        <v>80</v>
      </c>
      <c r="B20" s="42" t="s">
        <v>82</v>
      </c>
      <c r="C20" s="42" t="s">
        <v>8</v>
      </c>
      <c r="D20" s="43" t="s">
        <v>9</v>
      </c>
      <c r="E20" s="43" t="s">
        <v>9</v>
      </c>
      <c r="F20" s="43" t="s">
        <v>10</v>
      </c>
      <c r="G20" s="43" t="s">
        <v>10</v>
      </c>
      <c r="H20" s="43" t="s">
        <v>38</v>
      </c>
      <c r="I20" s="43" t="s">
        <v>38</v>
      </c>
      <c r="J20" s="43" t="s">
        <v>39</v>
      </c>
      <c r="K20" s="43" t="s">
        <v>39</v>
      </c>
      <c r="L20" s="43" t="s">
        <v>56</v>
      </c>
      <c r="M20" s="3" t="s">
        <v>11</v>
      </c>
      <c r="N20" s="3" t="s">
        <v>13</v>
      </c>
      <c r="O20" s="3" t="s">
        <v>12</v>
      </c>
      <c r="P20" s="3" t="s">
        <v>14</v>
      </c>
      <c r="Q20" s="3" t="s">
        <v>15</v>
      </c>
      <c r="R20" s="43" t="s">
        <v>34</v>
      </c>
      <c r="S20" s="3" t="s">
        <v>11</v>
      </c>
      <c r="T20" s="43" t="s">
        <v>58</v>
      </c>
      <c r="U20" s="3" t="s">
        <v>12</v>
      </c>
      <c r="V20" s="3" t="s">
        <v>59</v>
      </c>
      <c r="W20" s="3" t="s">
        <v>60</v>
      </c>
      <c r="X20" s="43" t="s">
        <v>34</v>
      </c>
      <c r="Y20" s="3" t="s">
        <v>11</v>
      </c>
      <c r="Z20" s="43" t="s">
        <v>58</v>
      </c>
      <c r="AA20" s="3" t="s">
        <v>12</v>
      </c>
      <c r="AB20" s="3" t="s">
        <v>59</v>
      </c>
      <c r="AC20" s="3" t="s">
        <v>60</v>
      </c>
      <c r="AD20" s="43" t="s">
        <v>34</v>
      </c>
      <c r="AE20" s="3" t="s">
        <v>11</v>
      </c>
      <c r="AF20" s="3" t="s">
        <v>13</v>
      </c>
      <c r="AG20" s="3" t="s">
        <v>12</v>
      </c>
      <c r="AH20" s="3" t="s">
        <v>14</v>
      </c>
      <c r="AI20" s="3" t="s">
        <v>15</v>
      </c>
      <c r="AJ20" s="43" t="s">
        <v>34</v>
      </c>
      <c r="AK20" s="3" t="s">
        <v>11</v>
      </c>
      <c r="AL20" s="3" t="s">
        <v>13</v>
      </c>
      <c r="AM20" s="3" t="s">
        <v>12</v>
      </c>
      <c r="AN20" s="3" t="s">
        <v>14</v>
      </c>
      <c r="AO20" s="3" t="s">
        <v>15</v>
      </c>
      <c r="AP20" s="43" t="s">
        <v>34</v>
      </c>
      <c r="AQ20" s="3" t="s">
        <v>11</v>
      </c>
      <c r="AR20" s="3" t="s">
        <v>13</v>
      </c>
      <c r="AS20" s="3" t="s">
        <v>12</v>
      </c>
      <c r="AT20" s="3" t="s">
        <v>14</v>
      </c>
      <c r="AU20" s="3" t="s">
        <v>15</v>
      </c>
      <c r="AV20" s="43" t="s">
        <v>34</v>
      </c>
      <c r="AW20" s="3" t="s">
        <v>11</v>
      </c>
      <c r="AX20" s="3" t="s">
        <v>13</v>
      </c>
      <c r="AY20" s="3" t="s">
        <v>12</v>
      </c>
      <c r="AZ20" s="3" t="s">
        <v>14</v>
      </c>
      <c r="BA20" s="3" t="s">
        <v>15</v>
      </c>
      <c r="BB20" s="43" t="s">
        <v>34</v>
      </c>
      <c r="BC20" s="3" t="s">
        <v>14</v>
      </c>
      <c r="BD20" s="43" t="s">
        <v>34</v>
      </c>
      <c r="BE20" s="3" t="s">
        <v>14</v>
      </c>
      <c r="BF20" s="43" t="s">
        <v>34</v>
      </c>
    </row>
    <row r="21" spans="1:58">
      <c r="A21" s="2" t="s">
        <v>16</v>
      </c>
      <c r="B21" s="2" t="s">
        <v>16</v>
      </c>
      <c r="C21" s="2" t="s">
        <v>16</v>
      </c>
      <c r="D21" s="2" t="s">
        <v>16</v>
      </c>
      <c r="E21" s="2" t="s">
        <v>16</v>
      </c>
      <c r="F21" s="2"/>
      <c r="G21" s="2" t="s">
        <v>16</v>
      </c>
      <c r="H21" s="2" t="s">
        <v>16</v>
      </c>
      <c r="I21" s="2" t="s">
        <v>16</v>
      </c>
      <c r="J21" s="2" t="s">
        <v>16</v>
      </c>
      <c r="K21" s="2" t="s">
        <v>16</v>
      </c>
      <c r="L21" s="2"/>
      <c r="M21" s="2" t="s">
        <v>16</v>
      </c>
      <c r="N21" s="2" t="s">
        <v>16</v>
      </c>
      <c r="O21" s="2" t="s">
        <v>16</v>
      </c>
      <c r="P21" s="2" t="s">
        <v>16</v>
      </c>
      <c r="Q21" s="2" t="s">
        <v>16</v>
      </c>
      <c r="R21" s="2"/>
      <c r="S21" s="2" t="s">
        <v>16</v>
      </c>
      <c r="T21" s="2" t="s">
        <v>16</v>
      </c>
      <c r="U21" s="2" t="s">
        <v>16</v>
      </c>
      <c r="V21" s="2" t="s">
        <v>16</v>
      </c>
      <c r="W21" s="2" t="s">
        <v>16</v>
      </c>
      <c r="X21" s="2"/>
      <c r="Y21" s="2" t="s">
        <v>16</v>
      </c>
      <c r="Z21" s="2" t="s">
        <v>16</v>
      </c>
      <c r="AA21" s="2" t="s">
        <v>16</v>
      </c>
      <c r="AB21" s="2" t="s">
        <v>16</v>
      </c>
      <c r="AC21" s="2" t="s">
        <v>16</v>
      </c>
      <c r="AD21" s="2"/>
      <c r="AE21" s="2" t="s">
        <v>16</v>
      </c>
      <c r="AF21" s="2" t="s">
        <v>16</v>
      </c>
      <c r="AG21" s="2" t="s">
        <v>16</v>
      </c>
      <c r="AH21" s="2" t="s">
        <v>16</v>
      </c>
      <c r="AI21" s="2" t="s">
        <v>16</v>
      </c>
      <c r="AJ21" s="2"/>
      <c r="AK21" s="2" t="s">
        <v>16</v>
      </c>
      <c r="AL21" s="2" t="s">
        <v>16</v>
      </c>
      <c r="AM21" s="2" t="s">
        <v>16</v>
      </c>
      <c r="AN21" s="2" t="s">
        <v>16</v>
      </c>
      <c r="AO21" s="2" t="s">
        <v>16</v>
      </c>
      <c r="AP21" s="2"/>
      <c r="AQ21" s="2" t="s">
        <v>16</v>
      </c>
      <c r="AR21" s="2" t="s">
        <v>16</v>
      </c>
      <c r="AS21" s="2" t="s">
        <v>16</v>
      </c>
      <c r="AT21" s="2" t="s">
        <v>16</v>
      </c>
      <c r="AU21" s="2" t="s">
        <v>16</v>
      </c>
      <c r="AV21" s="2"/>
      <c r="AW21" s="2" t="s">
        <v>16</v>
      </c>
      <c r="AX21" s="2" t="s">
        <v>16</v>
      </c>
      <c r="AY21" s="2" t="s">
        <v>16</v>
      </c>
      <c r="AZ21" s="2" t="s">
        <v>16</v>
      </c>
      <c r="BA21" s="2" t="s">
        <v>16</v>
      </c>
      <c r="BB21" s="2"/>
      <c r="BC21" s="2"/>
      <c r="BD21" s="2"/>
      <c r="BE21" s="2"/>
      <c r="BF21" s="2"/>
    </row>
    <row r="22" spans="1:58" s="8" customFormat="1">
      <c r="A22" s="6" t="s">
        <v>77</v>
      </c>
      <c r="D22" s="9">
        <v>1.9E-2</v>
      </c>
      <c r="E22" s="9">
        <v>4.1000000000000002E-2</v>
      </c>
      <c r="F22" s="7">
        <v>1</v>
      </c>
      <c r="G22" s="7">
        <f>F22</f>
        <v>1</v>
      </c>
      <c r="H22" s="12">
        <v>15</v>
      </c>
      <c r="I22" s="12">
        <v>25</v>
      </c>
      <c r="J22" s="8">
        <f>H22+273.15</f>
        <v>288.14999999999998</v>
      </c>
      <c r="K22" s="8">
        <f>I22+273.15</f>
        <v>298.14999999999998</v>
      </c>
      <c r="L22" s="23">
        <f>2.7182818^(11.8571-(3840.7/J22)-(216961/(J22*J22)))</f>
        <v>1.6827313095329567E-2</v>
      </c>
      <c r="M22" s="32">
        <f>(1-$L22)*0.00035</f>
        <v>3.4411044041663465E-4</v>
      </c>
      <c r="N22" s="8">
        <f>(1-$L22)*0.00934</f>
        <v>9.1828328956896216E-3</v>
      </c>
      <c r="O22" s="33">
        <f>(1-$L22)*0.20946</f>
        <v>0.20593535099905227</v>
      </c>
      <c r="P22" s="33">
        <f>(1-$L22)*0.7808</f>
        <v>0.76766123393516672</v>
      </c>
      <c r="Q22" s="32">
        <f>(1-$L22)*0.00000175</f>
        <v>1.7205522020831733E-6</v>
      </c>
      <c r="R22" s="34">
        <f>(1-$L22)*0.000000315</f>
        <v>3.0969939637497117E-7</v>
      </c>
      <c r="S22" s="17">
        <f>(2.7182818^(-58.0931+(90.5069*(100/J22))+(22.294*LN(J22/100))))*((0.0821*273.15)+((-1636.75+(12.0408*273.15)-(3.27957*0.01*273.15*273.15)+(3.16528*0.00001*273.15*273.15*273.15))/1000))</f>
        <v>1.0141408451528957</v>
      </c>
      <c r="T22" s="18">
        <f>(2.7182818^(-55.6578+(82.0262*(100/J22))+(22.5929*LN(J22/100))))</f>
        <v>3.7590932636854077E-2</v>
      </c>
      <c r="U22" s="18">
        <f>(2.7182818^(9.7265-(5.26895*(1000/J22))+(1.00417*(1000000/(J22*J22))))/1000)</f>
        <v>3.4297045012247444E-2</v>
      </c>
      <c r="V22" s="18">
        <f>(2.7182818^(-59.6274+(85.7661*(100/J22))+(24.3696*LN(J22/100))))</f>
        <v>1.7036607559908226E-2</v>
      </c>
      <c r="W22" s="18">
        <f>(2.7182818^(-67.1962+(99.1624*(100/J22))+(27.9015*LN(J22/100))))</f>
        <v>3.8608971142760115E-2</v>
      </c>
      <c r="X22" s="17">
        <f>2.7182818^(-165.8806+(222.8743*(100/J22))+(92.0792*LN(J22/100))+(-1.48425*(J22/100)^2))*0.0821*273.15</f>
        <v>0.7414614670284706</v>
      </c>
      <c r="Y22" s="17">
        <f>(2.7182818^(-58.0931+(90.5069*(100/K22))+(22.294*LN(K22/100))))*((0.0821*273.15)+((-1636.75+(12.0408*273.15)-(3.27957*0.01*273.15*273.15)+(3.16528*0.00001*273.15*273.15*273.15))/1000))</f>
        <v>0.75663738860941154</v>
      </c>
      <c r="Z22" s="18">
        <f>(2.7182818^(-55.6578+(82.0262*(100/K22))+(22.5929*LN(K22/100))))</f>
        <v>3.1273182553604569E-2</v>
      </c>
      <c r="AA22" s="18">
        <f>(2.7182818^(9.7265-(5.26895*(1000/K22))+(1.00417*(1000000/(K22*K22))))/1000)</f>
        <v>2.8522447902748639E-2</v>
      </c>
      <c r="AB22" s="18">
        <f>(2.7182818^(-59.6274+(85.7661*(100/K22))+(24.3696*LN(K22/100))))</f>
        <v>1.4417514792092294E-2</v>
      </c>
      <c r="AC22" s="18">
        <f>(2.7182818^(-67.1962+(99.1624*(100/K22))+(27.9015*LN(K22/100))))</f>
        <v>3.1535883635601503E-2</v>
      </c>
      <c r="AD22" s="17">
        <f>2.7182818^(-165.8806+(222.8743*(100/K22))+(92.0792*LN(K22/100))+(-1.48425*(K22/100)^2))*0.0821*273.15</f>
        <v>0.53674349916186992</v>
      </c>
      <c r="AE22" s="35">
        <f t="shared" ref="AE22:AJ23" si="0">S22*M22*$F22*1/(0.0821*273.15)*10^6</f>
        <v>15.561510927127797</v>
      </c>
      <c r="AF22" s="35">
        <f t="shared" si="0"/>
        <v>15.392721795917582</v>
      </c>
      <c r="AG22" s="36">
        <f t="shared" si="0"/>
        <v>314.95118429650523</v>
      </c>
      <c r="AH22" s="36">
        <f t="shared" si="0"/>
        <v>583.18771554351304</v>
      </c>
      <c r="AI22" s="37">
        <f t="shared" si="0"/>
        <v>2.9621818763874083E-3</v>
      </c>
      <c r="AJ22" s="38">
        <f t="shared" si="0"/>
        <v>1.0239637520487975E-2</v>
      </c>
      <c r="AK22" s="39">
        <f t="shared" ref="AK22:AP23" si="1">(AE22*$E22)/((Y22*$G22*$E22)+$D22)</f>
        <v>12.75479294069669</v>
      </c>
      <c r="AL22" s="39">
        <f t="shared" si="1"/>
        <v>31.116031719968699</v>
      </c>
      <c r="AM22" s="39">
        <f t="shared" si="1"/>
        <v>640.22655699103495</v>
      </c>
      <c r="AN22" s="39">
        <f t="shared" si="1"/>
        <v>1220.4865596405357</v>
      </c>
      <c r="AO22" s="40">
        <f t="shared" si="1"/>
        <v>5.9848040762984665E-3</v>
      </c>
      <c r="AP22" s="40">
        <f t="shared" si="1"/>
        <v>1.0238018548745334E-2</v>
      </c>
      <c r="AQ22" s="41">
        <f t="shared" ref="AQ22:AV23" si="2">AK22*0.0821*273.15</f>
        <v>286.0340758927818</v>
      </c>
      <c r="AR22" s="41">
        <f t="shared" si="2"/>
        <v>697.79614767980593</v>
      </c>
      <c r="AS22" s="22">
        <f t="shared" si="2"/>
        <v>14357.474279856508</v>
      </c>
      <c r="AT22" s="22">
        <f t="shared" si="2"/>
        <v>27370.161699173193</v>
      </c>
      <c r="AU22" s="18">
        <f t="shared" si="2"/>
        <v>0.13421291206550004</v>
      </c>
      <c r="AV22" s="17">
        <f t="shared" si="2"/>
        <v>0.22959386233702159</v>
      </c>
      <c r="AW22" s="26">
        <f t="shared" ref="AW22:BB23" si="3">AK22*$D22</f>
        <v>0.24234106587323712</v>
      </c>
      <c r="AX22" s="26">
        <f t="shared" si="3"/>
        <v>0.59120460267940522</v>
      </c>
      <c r="AY22" s="26">
        <f t="shared" si="3"/>
        <v>12.164304582829663</v>
      </c>
      <c r="AZ22" s="26">
        <f t="shared" si="3"/>
        <v>23.189244633170176</v>
      </c>
      <c r="BA22" s="27">
        <f t="shared" si="3"/>
        <v>1.1371127744967086E-4</v>
      </c>
      <c r="BB22" s="27">
        <f t="shared" si="3"/>
        <v>1.9452235242616134E-4</v>
      </c>
      <c r="BC22" s="26">
        <f>AZ22*(14/19)</f>
        <v>17.086811834967499</v>
      </c>
      <c r="BD22" s="25">
        <f>BB22*(14/19)</f>
        <v>1.4333225968243466E-4</v>
      </c>
      <c r="BE22" s="26"/>
      <c r="BF22" s="25"/>
    </row>
    <row r="23" spans="1:58" s="8" customFormat="1">
      <c r="A23" s="6" t="s">
        <v>78</v>
      </c>
      <c r="D23" s="9">
        <v>2.4E-2</v>
      </c>
      <c r="E23" s="9">
        <v>3.5999999999999997E-2</v>
      </c>
      <c r="F23" s="7">
        <v>0.73199999999999998</v>
      </c>
      <c r="G23" s="7">
        <f>F23</f>
        <v>0.73199999999999998</v>
      </c>
      <c r="H23" s="12">
        <v>10</v>
      </c>
      <c r="I23" s="12">
        <v>15</v>
      </c>
      <c r="J23" s="8">
        <f>H23+273.15</f>
        <v>283.14999999999998</v>
      </c>
      <c r="K23" s="8">
        <f>I23+273.15</f>
        <v>288.14999999999998</v>
      </c>
      <c r="L23" s="23">
        <f>2.7182818^(11.8571-(3840.7/J23)-(216961/(J23*J23)))</f>
        <v>1.211612781291963E-2</v>
      </c>
      <c r="M23" s="32">
        <f>(1-$L23)*0.00035</f>
        <v>3.4575935526547812E-4</v>
      </c>
      <c r="N23" s="8">
        <f>(1-$L23)*0.00934</f>
        <v>9.2268353662273307E-3</v>
      </c>
      <c r="O23" s="33">
        <f>(1-$L23)*0.20946</f>
        <v>0.20692215586830587</v>
      </c>
      <c r="P23" s="33">
        <f>(1-$L23)*0.7808</f>
        <v>0.7713397274036724</v>
      </c>
      <c r="Q23" s="32">
        <f>(1-$L23)*0.00000175</f>
        <v>1.7287967763273908E-6</v>
      </c>
      <c r="R23" s="34">
        <f>(1-$L23)*0.000000315</f>
        <v>3.1118341973893034E-7</v>
      </c>
      <c r="S23" s="17">
        <f>(2.7182818^(-58.0931+(90.5069*(100/J23))+(22.294*LN(J23/100))))*((0.0821*273.15)+((-1636.75+(12.0408*273.15)-(3.27957*0.01*273.15*273.15)+(3.16528*0.00001*273.15*273.15*273.15))/1000))</f>
        <v>1.1953581153200548</v>
      </c>
      <c r="T23" s="18">
        <f>(2.7182818^(-55.6578+(82.0262*(100/J23))+(22.5929*LN(J23/100))))</f>
        <v>4.1844617693302229E-2</v>
      </c>
      <c r="U23" s="18">
        <f>(2.7182818^(9.7265-(5.26895*(1000/J23))+(1.00417*(1000000/(J23*J23))))/1000)</f>
        <v>3.8208600826516184E-2</v>
      </c>
      <c r="V23" s="18">
        <f>(2.7182818^(-59.6274+(85.7661*(100/J23))+(24.3696*LN(J23/100))))</f>
        <v>1.8809905871971209E-2</v>
      </c>
      <c r="W23" s="18">
        <f>(2.7182818^(-67.1962+(99.1624*(100/J23))+(27.9015*LN(J23/100))))</f>
        <v>4.3500642581642039E-2</v>
      </c>
      <c r="X23" s="17">
        <f>2.7182818^(-165.8806+(222.8743*(100/J23))+(92.0792*LN(J23/100))+(-1.48425*(J23/100)^2))*0.0821*273.15</f>
        <v>0.88592617017804709</v>
      </c>
      <c r="Y23" s="17">
        <f>(2.7182818^(-58.0931+(90.5069*(100/K23))+(22.294*LN(K23/100))))*((0.0821*273.15)+((-1636.75+(12.0408*273.15)-(3.27957*0.01*273.15*273.15)+(3.16528*0.00001*273.15*273.15*273.15))/1000))</f>
        <v>1.0141408451528957</v>
      </c>
      <c r="Z23" s="18">
        <f>(2.7182818^(-55.6578+(82.0262*(100/K23))+(22.5929*LN(K23/100))))</f>
        <v>3.7590932636854077E-2</v>
      </c>
      <c r="AA23" s="18">
        <f>(2.7182818^(9.7265-(5.26895*(1000/K23))+(1.00417*(1000000/(K23*K23))))/1000)</f>
        <v>3.4297045012247444E-2</v>
      </c>
      <c r="AB23" s="18">
        <f>(2.7182818^(-59.6274+(85.7661*(100/K23))+(24.3696*LN(K23/100))))</f>
        <v>1.7036607559908226E-2</v>
      </c>
      <c r="AC23" s="18">
        <f>(2.7182818^(-67.1962+(99.1624*(100/K23))+(27.9015*LN(K23/100))))</f>
        <v>3.8608971142760115E-2</v>
      </c>
      <c r="AD23" s="17">
        <f>2.7182818^(-165.8806+(222.8743*(100/K23))+(92.0792*LN(K23/100))+(-1.48425*(K23/100)^2))*0.0821*273.15</f>
        <v>0.7414614670284706</v>
      </c>
      <c r="AE23" s="35">
        <f t="shared" si="0"/>
        <v>13.490830727520953</v>
      </c>
      <c r="AF23" s="35">
        <f t="shared" si="0"/>
        <v>12.602569322740017</v>
      </c>
      <c r="AG23" s="36">
        <f t="shared" si="0"/>
        <v>258.06841118058429</v>
      </c>
      <c r="AH23" s="36">
        <f t="shared" si="0"/>
        <v>473.5862027779977</v>
      </c>
      <c r="AI23" s="37">
        <f t="shared" si="0"/>
        <v>2.4547447249738726E-3</v>
      </c>
      <c r="AJ23" s="38">
        <f t="shared" si="0"/>
        <v>8.9987191797979114E-3</v>
      </c>
      <c r="AK23" s="39">
        <f t="shared" si="1"/>
        <v>9.5746349404406583</v>
      </c>
      <c r="AL23" s="39">
        <f t="shared" si="1"/>
        <v>18.154528645724</v>
      </c>
      <c r="AM23" s="39">
        <f t="shared" si="1"/>
        <v>373.05408794566603</v>
      </c>
      <c r="AN23" s="39">
        <f t="shared" si="1"/>
        <v>697.334822918908</v>
      </c>
      <c r="AO23" s="40">
        <f t="shared" si="1"/>
        <v>3.5323705384424889E-3</v>
      </c>
      <c r="AP23" s="40">
        <f t="shared" si="1"/>
        <v>7.4405463076326972E-3</v>
      </c>
      <c r="AQ23" s="41">
        <f t="shared" si="2"/>
        <v>214.71707693987014</v>
      </c>
      <c r="AR23" s="41">
        <f t="shared" si="2"/>
        <v>407.12646991547786</v>
      </c>
      <c r="AS23" s="22">
        <f t="shared" si="2"/>
        <v>8365.9673504456478</v>
      </c>
      <c r="AT23" s="22">
        <f t="shared" si="2"/>
        <v>15638.162264872606</v>
      </c>
      <c r="AU23" s="18">
        <f t="shared" si="2"/>
        <v>7.9215581732453952E-2</v>
      </c>
      <c r="AV23" s="17">
        <f t="shared" si="2"/>
        <v>0.16685882688464243</v>
      </c>
      <c r="AW23" s="26">
        <f t="shared" si="3"/>
        <v>0.22979123857057582</v>
      </c>
      <c r="AX23" s="26">
        <f t="shared" si="3"/>
        <v>0.43570868749737601</v>
      </c>
      <c r="AY23" s="26">
        <f t="shared" si="3"/>
        <v>8.9532981106959841</v>
      </c>
      <c r="AZ23" s="26">
        <f t="shared" si="3"/>
        <v>16.736035750053791</v>
      </c>
      <c r="BA23" s="27">
        <f t="shared" si="3"/>
        <v>8.4776892922619731E-5</v>
      </c>
      <c r="BB23" s="27">
        <f t="shared" si="3"/>
        <v>1.7857311138318473E-4</v>
      </c>
      <c r="BC23" s="26"/>
      <c r="BD23" s="25"/>
      <c r="BE23" s="26">
        <f>AZ23*(19/24)</f>
        <v>13.24936163545925</v>
      </c>
      <c r="BF23" s="25">
        <f>BB23*(19/24)</f>
        <v>1.4137037984502122E-4</v>
      </c>
    </row>
    <row r="24" spans="1:58" s="8" customFormat="1">
      <c r="D24" s="31"/>
      <c r="E24" s="31"/>
      <c r="F24" s="20"/>
      <c r="G24" s="20"/>
      <c r="H24" s="21"/>
      <c r="I24" s="21"/>
      <c r="L24" s="23"/>
      <c r="M24" s="32"/>
      <c r="O24" s="33"/>
      <c r="P24" s="33"/>
      <c r="Q24" s="32"/>
      <c r="R24" s="34"/>
      <c r="S24" s="18"/>
      <c r="T24" s="25"/>
      <c r="U24" s="25"/>
      <c r="V24" s="28"/>
      <c r="W24" s="25"/>
      <c r="X24" s="17"/>
      <c r="Y24" s="18"/>
      <c r="Z24" s="25"/>
      <c r="AA24" s="25"/>
      <c r="AB24" s="28"/>
      <c r="AC24" s="25"/>
      <c r="AD24" s="17"/>
      <c r="AE24" s="35"/>
      <c r="AF24" s="35"/>
      <c r="AG24" s="36"/>
      <c r="AH24" s="36"/>
      <c r="AI24" s="37"/>
      <c r="AJ24" s="38"/>
      <c r="AK24" s="39"/>
      <c r="AL24" s="39"/>
      <c r="AM24" s="39"/>
      <c r="AN24" s="39"/>
      <c r="AO24" s="40"/>
      <c r="AP24" s="40"/>
      <c r="AQ24" s="16"/>
      <c r="AR24" s="16"/>
      <c r="AS24" s="16"/>
      <c r="AT24" s="16"/>
      <c r="AU24" s="17"/>
      <c r="AV24" s="17"/>
      <c r="AW24" s="26"/>
      <c r="AX24" s="26"/>
      <c r="AY24" s="26"/>
      <c r="AZ24" s="26"/>
      <c r="BA24" s="27"/>
      <c r="BB24" s="27"/>
      <c r="BC24" s="26"/>
      <c r="BD24" s="25"/>
      <c r="BE24" s="26"/>
      <c r="BF24" s="25"/>
    </row>
    <row r="25" spans="1:58" s="8" customFormat="1">
      <c r="A25"/>
      <c r="B25"/>
      <c r="C25"/>
      <c r="D25"/>
      <c r="E25"/>
      <c r="F25" s="20"/>
      <c r="G25" s="20"/>
      <c r="H25" s="21"/>
      <c r="I25" s="21"/>
      <c r="L25" s="23"/>
      <c r="M25" s="32"/>
      <c r="O25" s="33"/>
      <c r="P25" s="33"/>
      <c r="Q25" s="32"/>
      <c r="R25" s="34"/>
      <c r="S25" s="18"/>
      <c r="T25" s="25"/>
      <c r="U25" s="25"/>
      <c r="V25" s="28"/>
      <c r="W25" s="25"/>
      <c r="X25" s="17"/>
      <c r="Y25" s="18"/>
      <c r="Z25" s="25"/>
      <c r="AA25" s="25"/>
      <c r="AB25" s="28"/>
      <c r="AC25" s="25"/>
      <c r="AD25" s="17"/>
      <c r="AE25" s="35"/>
      <c r="AF25" s="35"/>
      <c r="AG25" s="36"/>
      <c r="AH25" s="36"/>
      <c r="AI25" s="37"/>
      <c r="AJ25" s="38"/>
      <c r="AK25" s="39"/>
      <c r="AL25" s="39"/>
      <c r="AM25" s="39"/>
      <c r="AN25" s="39"/>
      <c r="AO25" s="40"/>
      <c r="AP25" s="40"/>
      <c r="AQ25" s="16"/>
      <c r="AR25" s="16"/>
      <c r="AS25" s="16"/>
      <c r="AT25" s="16"/>
      <c r="AU25" s="17"/>
      <c r="AV25" s="17"/>
      <c r="AW25" s="26"/>
      <c r="AX25" s="26"/>
      <c r="AY25" s="26"/>
      <c r="AZ25" s="26"/>
      <c r="BA25" s="27"/>
      <c r="BB25" s="27"/>
      <c r="BC25" s="26"/>
      <c r="BD25" s="25"/>
      <c r="BE25" s="26"/>
      <c r="BF25" s="25"/>
    </row>
  </sheetData>
  <phoneticPr fontId="0" type="noConversion"/>
  <pageMargins left="0.5" right="0.5" top="0.5" bottom="0.5" header="0.5" footer="0.5"/>
  <pageSetup orientation="portrait"/>
  <headerFooter>
    <oddFooter>&amp;L&amp;D  ^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enableFormatConditionsCalculation="0"/>
  <dimension ref="A1:BG25"/>
  <sheetViews>
    <sheetView showRuler="0" defaultGridColor="0" colorId="22" zoomScale="87" workbookViewId="0">
      <selection activeCell="A31" sqref="A31"/>
    </sheetView>
  </sheetViews>
  <sheetFormatPr baseColWidth="10" defaultColWidth="9.5703125" defaultRowHeight="15" x14ac:dyDescent="0"/>
  <cols>
    <col min="1" max="1" width="51.5703125" customWidth="1"/>
    <col min="2" max="2" width="13" customWidth="1"/>
    <col min="3" max="3" width="12.42578125" customWidth="1"/>
    <col min="4" max="4" width="11.140625" customWidth="1"/>
    <col min="5" max="5" width="9.5703125" customWidth="1"/>
    <col min="8" max="22" width="10.5703125" customWidth="1"/>
    <col min="23" max="23" width="11.42578125" customWidth="1"/>
    <col min="27" max="27" width="10" bestFit="1" customWidth="1"/>
    <col min="41" max="41" width="10.140625" customWidth="1"/>
    <col min="52" max="53" width="10" bestFit="1" customWidth="1"/>
  </cols>
  <sheetData>
    <row r="1" spans="1:59">
      <c r="A1" s="3" t="s">
        <v>17</v>
      </c>
      <c r="B1" s="3"/>
      <c r="C1" s="3"/>
      <c r="D1" s="3"/>
      <c r="E1" s="3"/>
      <c r="M1" t="s">
        <v>76</v>
      </c>
    </row>
    <row r="2" spans="1:59">
      <c r="A2" t="s">
        <v>46</v>
      </c>
      <c r="G2" s="8"/>
      <c r="H2" s="8"/>
      <c r="I2" s="8"/>
      <c r="M2" s="3"/>
    </row>
    <row r="3" spans="1:59">
      <c r="A3" t="s">
        <v>47</v>
      </c>
    </row>
    <row r="6" spans="1:59">
      <c r="A6" t="s">
        <v>40</v>
      </c>
      <c r="J6" s="8"/>
      <c r="K6" s="8"/>
    </row>
    <row r="7" spans="1:59">
      <c r="A7" t="s">
        <v>54</v>
      </c>
      <c r="J7" s="8"/>
      <c r="K7" s="8"/>
    </row>
    <row r="8" spans="1:59">
      <c r="A8" t="s">
        <v>71</v>
      </c>
      <c r="M8" s="8"/>
    </row>
    <row r="9" spans="1:59">
      <c r="A9" t="s">
        <v>42</v>
      </c>
    </row>
    <row r="10" spans="1:59">
      <c r="A10" t="s">
        <v>43</v>
      </c>
    </row>
    <row r="11" spans="1:59">
      <c r="A11" t="s">
        <v>44</v>
      </c>
    </row>
    <row r="12" spans="1:59">
      <c r="A12" t="s">
        <v>79</v>
      </c>
    </row>
    <row r="13" spans="1:59">
      <c r="A13" t="s">
        <v>18</v>
      </c>
    </row>
    <row r="14" spans="1:59" s="3" customFormat="1">
      <c r="E14" s="43" t="s">
        <v>2</v>
      </c>
      <c r="H14" s="43" t="s">
        <v>2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 t="s">
        <v>2</v>
      </c>
    </row>
    <row r="15" spans="1:59" s="3" customFormat="1">
      <c r="E15" s="43" t="s">
        <v>52</v>
      </c>
      <c r="H15" s="43" t="s">
        <v>36</v>
      </c>
      <c r="I15" s="3" t="s">
        <v>64</v>
      </c>
      <c r="P15" s="3" t="s">
        <v>45</v>
      </c>
      <c r="W15" s="43" t="s">
        <v>36</v>
      </c>
      <c r="X15" s="3" t="s">
        <v>75</v>
      </c>
      <c r="AD15" s="3" t="s">
        <v>49</v>
      </c>
      <c r="AJ15" s="3" t="s">
        <v>48</v>
      </c>
      <c r="AP15" s="3" t="s">
        <v>50</v>
      </c>
      <c r="AV15" s="3" t="s">
        <v>51</v>
      </c>
      <c r="BB15" s="3" t="s">
        <v>66</v>
      </c>
    </row>
    <row r="16" spans="1:59" s="3" customFormat="1">
      <c r="A16" s="43"/>
      <c r="B16" s="42"/>
      <c r="C16" s="42" t="s">
        <v>81</v>
      </c>
      <c r="D16" s="43" t="s">
        <v>53</v>
      </c>
      <c r="E16" s="43" t="s">
        <v>4</v>
      </c>
      <c r="F16" s="43" t="s">
        <v>2</v>
      </c>
      <c r="G16" s="43" t="s">
        <v>3</v>
      </c>
      <c r="H16" s="44" t="s">
        <v>5</v>
      </c>
      <c r="I16" s="45" t="s">
        <v>20</v>
      </c>
      <c r="J16" s="44" t="s">
        <v>5</v>
      </c>
      <c r="K16" s="44" t="s">
        <v>5</v>
      </c>
      <c r="L16" s="44" t="s">
        <v>5</v>
      </c>
      <c r="M16" s="44" t="s">
        <v>5</v>
      </c>
      <c r="N16" s="44" t="s">
        <v>5</v>
      </c>
      <c r="O16" s="44"/>
      <c r="P16" s="45" t="s">
        <v>7</v>
      </c>
      <c r="Q16" s="44" t="s">
        <v>5</v>
      </c>
      <c r="R16" s="44"/>
      <c r="S16" s="44"/>
      <c r="T16" s="44" t="s">
        <v>5</v>
      </c>
      <c r="U16" s="44" t="s">
        <v>5</v>
      </c>
      <c r="V16" s="44"/>
      <c r="W16" s="44" t="s">
        <v>5</v>
      </c>
      <c r="X16" s="43" t="s">
        <v>6</v>
      </c>
      <c r="Y16" s="44" t="s">
        <v>5</v>
      </c>
      <c r="Z16" s="44" t="s">
        <v>5</v>
      </c>
      <c r="AA16" s="44" t="s">
        <v>5</v>
      </c>
      <c r="AB16" s="44" t="s">
        <v>5</v>
      </c>
      <c r="AC16" s="44"/>
      <c r="AD16" s="45" t="s">
        <v>19</v>
      </c>
      <c r="AE16" s="44" t="s">
        <v>5</v>
      </c>
      <c r="AF16" s="44" t="s">
        <v>5</v>
      </c>
      <c r="AG16" s="44" t="s">
        <v>5</v>
      </c>
      <c r="AH16" s="44" t="s">
        <v>5</v>
      </c>
      <c r="AI16" s="44"/>
      <c r="AJ16" s="45" t="s">
        <v>19</v>
      </c>
      <c r="AK16" s="44" t="s">
        <v>5</v>
      </c>
      <c r="AL16" s="44"/>
      <c r="AM16" s="44" t="s">
        <v>5</v>
      </c>
      <c r="AN16" s="44" t="s">
        <v>5</v>
      </c>
      <c r="AO16" s="44"/>
      <c r="AP16" s="45" t="s">
        <v>7</v>
      </c>
      <c r="AQ16" s="44" t="s">
        <v>5</v>
      </c>
      <c r="AR16" s="44"/>
      <c r="AS16" s="44" t="s">
        <v>5</v>
      </c>
      <c r="AT16" s="44" t="s">
        <v>5</v>
      </c>
      <c r="AU16" s="44"/>
      <c r="AV16" s="45" t="s">
        <v>19</v>
      </c>
      <c r="AW16" s="44" t="s">
        <v>5</v>
      </c>
      <c r="AX16" s="44"/>
      <c r="AY16" s="44" t="s">
        <v>5</v>
      </c>
      <c r="AZ16" s="44" t="s">
        <v>5</v>
      </c>
      <c r="BA16" s="44"/>
      <c r="BB16" s="45" t="s">
        <v>21</v>
      </c>
      <c r="BC16" s="44" t="s">
        <v>5</v>
      </c>
      <c r="BD16" s="44"/>
      <c r="BE16" s="44" t="s">
        <v>5</v>
      </c>
      <c r="BF16" s="44" t="s">
        <v>5</v>
      </c>
      <c r="BG16" s="44"/>
    </row>
    <row r="17" spans="1:59" s="3" customFormat="1">
      <c r="A17" s="43" t="s">
        <v>80</v>
      </c>
      <c r="B17" s="42" t="s">
        <v>82</v>
      </c>
      <c r="C17" s="42" t="s">
        <v>8</v>
      </c>
      <c r="D17" s="43" t="s">
        <v>10</v>
      </c>
      <c r="E17" s="43" t="s">
        <v>10</v>
      </c>
      <c r="F17" s="43" t="s">
        <v>9</v>
      </c>
      <c r="G17" s="43" t="s">
        <v>9</v>
      </c>
      <c r="H17" s="43" t="s">
        <v>38</v>
      </c>
      <c r="I17" s="3" t="s">
        <v>11</v>
      </c>
      <c r="J17" s="3" t="s">
        <v>22</v>
      </c>
      <c r="K17" s="43" t="s">
        <v>23</v>
      </c>
      <c r="L17" s="43" t="s">
        <v>24</v>
      </c>
      <c r="M17" s="3" t="s">
        <v>14</v>
      </c>
      <c r="N17" s="3" t="s">
        <v>15</v>
      </c>
      <c r="O17" s="43" t="s">
        <v>34</v>
      </c>
      <c r="P17" s="3" t="s">
        <v>11</v>
      </c>
      <c r="Q17" s="3" t="s">
        <v>22</v>
      </c>
      <c r="R17" s="43" t="s">
        <v>23</v>
      </c>
      <c r="S17" s="43" t="s">
        <v>24</v>
      </c>
      <c r="T17" s="3" t="s">
        <v>14</v>
      </c>
      <c r="U17" s="3" t="s">
        <v>15</v>
      </c>
      <c r="V17" s="43" t="s">
        <v>34</v>
      </c>
      <c r="W17" s="43" t="s">
        <v>39</v>
      </c>
      <c r="X17" s="3" t="s">
        <v>11</v>
      </c>
      <c r="Y17" s="43" t="s">
        <v>58</v>
      </c>
      <c r="Z17" s="3" t="s">
        <v>12</v>
      </c>
      <c r="AA17" s="3" t="s">
        <v>59</v>
      </c>
      <c r="AB17" s="3" t="s">
        <v>60</v>
      </c>
      <c r="AC17" s="43" t="s">
        <v>34</v>
      </c>
      <c r="AD17" s="3" t="s">
        <v>11</v>
      </c>
      <c r="AE17" s="43" t="s">
        <v>58</v>
      </c>
      <c r="AF17" s="43" t="s">
        <v>65</v>
      </c>
      <c r="AG17" s="3" t="s">
        <v>14</v>
      </c>
      <c r="AH17" s="3" t="s">
        <v>15</v>
      </c>
      <c r="AI17" s="43" t="s">
        <v>34</v>
      </c>
      <c r="AJ17" s="3" t="s">
        <v>11</v>
      </c>
      <c r="AK17" s="43" t="s">
        <v>58</v>
      </c>
      <c r="AL17" s="43" t="s">
        <v>65</v>
      </c>
      <c r="AM17" s="3" t="s">
        <v>14</v>
      </c>
      <c r="AN17" s="3" t="s">
        <v>15</v>
      </c>
      <c r="AO17" s="43" t="s">
        <v>34</v>
      </c>
      <c r="AP17" s="3" t="s">
        <v>11</v>
      </c>
      <c r="AQ17" s="43" t="s">
        <v>58</v>
      </c>
      <c r="AR17" s="43" t="s">
        <v>65</v>
      </c>
      <c r="AS17" s="3" t="s">
        <v>14</v>
      </c>
      <c r="AT17" s="3" t="s">
        <v>15</v>
      </c>
      <c r="AU17" s="43" t="s">
        <v>34</v>
      </c>
      <c r="AV17" s="3" t="s">
        <v>11</v>
      </c>
      <c r="AW17" s="43" t="s">
        <v>58</v>
      </c>
      <c r="AX17" s="43" t="s">
        <v>65</v>
      </c>
      <c r="AY17" s="3" t="s">
        <v>14</v>
      </c>
      <c r="AZ17" s="3" t="s">
        <v>15</v>
      </c>
      <c r="BA17" s="43" t="s">
        <v>34</v>
      </c>
      <c r="BB17" s="3" t="s">
        <v>11</v>
      </c>
      <c r="BC17" s="43" t="s">
        <v>58</v>
      </c>
      <c r="BD17" s="43" t="s">
        <v>65</v>
      </c>
      <c r="BE17" s="3" t="s">
        <v>14</v>
      </c>
      <c r="BF17" s="3" t="s">
        <v>15</v>
      </c>
      <c r="BG17" s="43" t="s">
        <v>34</v>
      </c>
    </row>
    <row r="18" spans="1:59">
      <c r="A18" s="2" t="s">
        <v>16</v>
      </c>
      <c r="B18" s="2"/>
      <c r="C18" s="2"/>
      <c r="D18" s="2"/>
      <c r="E18" s="2" t="s">
        <v>16</v>
      </c>
      <c r="F18" s="2" t="s">
        <v>16</v>
      </c>
      <c r="G18" s="2" t="s">
        <v>16</v>
      </c>
      <c r="H18" s="2" t="s">
        <v>16</v>
      </c>
      <c r="I18" s="2" t="s">
        <v>16</v>
      </c>
      <c r="J18" s="2" t="s">
        <v>16</v>
      </c>
      <c r="K18" s="2" t="s">
        <v>16</v>
      </c>
      <c r="L18" s="2" t="s">
        <v>16</v>
      </c>
      <c r="M18" s="2" t="s">
        <v>16</v>
      </c>
      <c r="N18" s="2" t="s">
        <v>16</v>
      </c>
      <c r="O18" s="2"/>
      <c r="P18" s="2" t="s">
        <v>16</v>
      </c>
      <c r="Q18" s="2" t="s">
        <v>16</v>
      </c>
      <c r="R18" s="2" t="s">
        <v>16</v>
      </c>
      <c r="S18" s="2" t="s">
        <v>16</v>
      </c>
      <c r="T18" s="2" t="s">
        <v>16</v>
      </c>
      <c r="U18" s="2" t="s">
        <v>16</v>
      </c>
      <c r="V18" s="2"/>
      <c r="W18" s="2" t="s">
        <v>16</v>
      </c>
      <c r="X18" s="2" t="s">
        <v>16</v>
      </c>
      <c r="Y18" s="2" t="s">
        <v>16</v>
      </c>
      <c r="Z18" s="2" t="s">
        <v>16</v>
      </c>
      <c r="AA18" s="2" t="s">
        <v>16</v>
      </c>
      <c r="AB18" s="2" t="s">
        <v>16</v>
      </c>
      <c r="AC18" s="2"/>
      <c r="AD18" s="2" t="s">
        <v>16</v>
      </c>
      <c r="AE18" s="2"/>
      <c r="AF18" s="2" t="s">
        <v>16</v>
      </c>
      <c r="AG18" s="2" t="s">
        <v>16</v>
      </c>
      <c r="AH18" s="2" t="s">
        <v>16</v>
      </c>
      <c r="AI18" s="2"/>
      <c r="AJ18" s="2" t="s">
        <v>16</v>
      </c>
      <c r="AK18" s="2" t="s">
        <v>16</v>
      </c>
      <c r="AL18" s="2"/>
      <c r="AM18" s="2" t="s">
        <v>16</v>
      </c>
      <c r="AN18" s="2" t="s">
        <v>16</v>
      </c>
      <c r="AO18" s="2"/>
      <c r="AP18" s="2" t="s">
        <v>16</v>
      </c>
      <c r="AQ18" s="2" t="s">
        <v>16</v>
      </c>
      <c r="AR18" s="2"/>
      <c r="AS18" s="2" t="s">
        <v>16</v>
      </c>
      <c r="AT18" s="2" t="s">
        <v>16</v>
      </c>
      <c r="AU18" s="2"/>
      <c r="AV18" s="2" t="s">
        <v>16</v>
      </c>
      <c r="AW18" s="2" t="s">
        <v>16</v>
      </c>
      <c r="AX18" s="2"/>
      <c r="AY18" s="2" t="s">
        <v>16</v>
      </c>
      <c r="AZ18" s="2" t="s">
        <v>16</v>
      </c>
      <c r="BA18" s="2"/>
      <c r="BB18" s="2" t="s">
        <v>16</v>
      </c>
      <c r="BC18" s="2" t="s">
        <v>16</v>
      </c>
      <c r="BD18" s="2"/>
      <c r="BE18" s="2" t="s">
        <v>16</v>
      </c>
      <c r="BF18" s="2" t="s">
        <v>16</v>
      </c>
      <c r="BG18" s="2"/>
    </row>
    <row r="19" spans="1:59" s="8" customFormat="1">
      <c r="A19" s="6" t="s">
        <v>77</v>
      </c>
      <c r="B19" s="6"/>
      <c r="C19" s="6"/>
      <c r="D19" s="7">
        <v>1</v>
      </c>
      <c r="E19" s="7">
        <f>D19</f>
        <v>1</v>
      </c>
      <c r="F19" s="6">
        <v>1.9E-2</v>
      </c>
      <c r="G19" s="6">
        <v>4.1000000000000002E-2</v>
      </c>
      <c r="H19" s="12">
        <v>25</v>
      </c>
      <c r="I19" s="10">
        <f>'Air equil H2O'!AQ22</f>
        <v>286.0340758927818</v>
      </c>
      <c r="J19" s="11">
        <f>'Air equil H2O'!AS22+'Air equil H2O'!AR22</f>
        <v>15055.270427536314</v>
      </c>
      <c r="K19" s="16">
        <f>M19/38.6</f>
        <v>709.07154661070444</v>
      </c>
      <c r="L19" s="16">
        <f>J19-K19</f>
        <v>14346.198880925609</v>
      </c>
      <c r="M19" s="10">
        <f>'Air equil H2O'!AT22</f>
        <v>27370.161699173193</v>
      </c>
      <c r="N19" s="14">
        <f>'Air equil H2O'!AU22</f>
        <v>0.13421291206550004</v>
      </c>
      <c r="O19" s="15">
        <f>'Air equil H2O'!AV22</f>
        <v>0.22959386233702159</v>
      </c>
      <c r="P19" s="6">
        <v>0</v>
      </c>
      <c r="Q19" s="6">
        <v>0</v>
      </c>
      <c r="R19" s="16">
        <f>T19/38.6</f>
        <v>0</v>
      </c>
      <c r="S19" s="16">
        <f>Q19-R19</f>
        <v>0</v>
      </c>
      <c r="T19" s="6">
        <v>0</v>
      </c>
      <c r="U19" s="10">
        <v>0</v>
      </c>
      <c r="V19" s="10">
        <v>0</v>
      </c>
      <c r="W19" s="8">
        <f>H19+273.15</f>
        <v>298.14999999999998</v>
      </c>
      <c r="X19" s="17">
        <f>(2.7182818^(-58.0931+(90.5069*(100/W19))+(22.294*LN(W19/100))))*((0.0821*273.15)+((-1636.75+(12.0408*273.15)-(3.27957*0.01*273.15*273.15)+(3.16528*0.00001*273.15*273.15*273.15))/1000))</f>
        <v>0.75663738860941154</v>
      </c>
      <c r="Y19" s="18">
        <f>(2.7182818^(-55.6578+(82.0262*(100/W19))+(22.5929*LN(W19/100))))</f>
        <v>3.1273182553604569E-2</v>
      </c>
      <c r="Z19" s="18">
        <f>(2.7182818^(9.7265-(5.26895*(1000/W19))+(1.00417*(1000000/(W19*W19))))/1000)</f>
        <v>2.8522447902748639E-2</v>
      </c>
      <c r="AA19" s="18">
        <f>(2.7182818^(-59.6274+(85.7661*(100/W19))+(24.3696*LN(W19/100))))</f>
        <v>1.4417514792092294E-2</v>
      </c>
      <c r="AB19" s="18">
        <f>(2.7182818^(-67.1962+(99.1624*(100/W19))+(27.9015*LN(W19/100))))</f>
        <v>3.1535883635601503E-2</v>
      </c>
      <c r="AC19" s="17">
        <f>2.7182818^(-165.8806+(222.8743*(100/W19))+(92.0792*LN(W19/100))+(-1.48425*(W19/100)^2))*0.0821*273.15</f>
        <v>0.53674349916186992</v>
      </c>
      <c r="AD19" s="8">
        <f>(+P19)/(0.0821*$W19)</f>
        <v>0</v>
      </c>
      <c r="AE19" s="8">
        <f t="shared" ref="AE19:AI20" si="0">(+R19)/(0.0821*$W19)</f>
        <v>0</v>
      </c>
      <c r="AF19" s="8">
        <f t="shared" si="0"/>
        <v>0</v>
      </c>
      <c r="AG19" s="8">
        <f t="shared" si="0"/>
        <v>0</v>
      </c>
      <c r="AH19" s="8">
        <f t="shared" si="0"/>
        <v>0</v>
      </c>
      <c r="AI19" s="8">
        <f t="shared" si="0"/>
        <v>0</v>
      </c>
      <c r="AJ19" s="16">
        <f>(I19)/(0.0821*273.15)</f>
        <v>12.75479294069669</v>
      </c>
      <c r="AK19" s="16">
        <f t="shared" ref="AK19:AO20" si="1">(+K19)/(0.0821*273.15)</f>
        <v>31.618822788614914</v>
      </c>
      <c r="AL19" s="16">
        <f t="shared" si="1"/>
        <v>639.72376592238868</v>
      </c>
      <c r="AM19" s="16">
        <f t="shared" si="1"/>
        <v>1220.4865596405357</v>
      </c>
      <c r="AN19" s="25">
        <f t="shared" si="1"/>
        <v>5.9848040762984665E-3</v>
      </c>
      <c r="AO19" s="25">
        <f t="shared" si="1"/>
        <v>1.0238018548745334E-2</v>
      </c>
      <c r="AP19" s="26">
        <f>I19*X19*$D19*1/(0.0821*273.15)</f>
        <v>9.6507532229024999</v>
      </c>
      <c r="AQ19" s="17">
        <f>(K19*Y19*$D19)*1/(0.0821*273.15)</f>
        <v>0.98882121719842642</v>
      </c>
      <c r="AR19" s="26">
        <f>(L19*Z19*$D19)*1/(0.0821*273.15)</f>
        <v>18.246487785671498</v>
      </c>
      <c r="AS19" s="26">
        <f t="shared" ref="AS19:AU20" si="2">M19*AA19*$D19*1/(0.0821*273.15)</f>
        <v>17.596383027167256</v>
      </c>
      <c r="AT19" s="27">
        <f t="shared" si="2"/>
        <v>1.8873608493202198E-4</v>
      </c>
      <c r="AU19" s="27">
        <f t="shared" si="2"/>
        <v>5.4951899003376995E-3</v>
      </c>
      <c r="AV19" s="26">
        <f t="shared" ref="AV19:BA20" si="3">(+AJ19*$F19)+(AP19*$G19)</f>
        <v>0.63802194801223955</v>
      </c>
      <c r="AW19" s="26">
        <f t="shared" si="3"/>
        <v>0.64129930288881887</v>
      </c>
      <c r="AX19" s="26">
        <f t="shared" si="3"/>
        <v>12.902857551737917</v>
      </c>
      <c r="AY19" s="26">
        <f t="shared" si="3"/>
        <v>23.910696337284033</v>
      </c>
      <c r="AZ19" s="28">
        <f t="shared" si="3"/>
        <v>1.2144945693188376E-4</v>
      </c>
      <c r="BA19" s="28">
        <f t="shared" si="3"/>
        <v>4.1982513834000707E-4</v>
      </c>
      <c r="BB19" s="16">
        <f t="shared" ref="BB19:BG20" si="4">(+AV19-(AD19*$F19))/$G19</f>
        <v>15.561510927127793</v>
      </c>
      <c r="BC19" s="16">
        <f t="shared" si="4"/>
        <v>15.641446411922411</v>
      </c>
      <c r="BD19" s="16">
        <f t="shared" si="4"/>
        <v>314.70384272531504</v>
      </c>
      <c r="BE19" s="16">
        <f t="shared" si="4"/>
        <v>583.18771554351304</v>
      </c>
      <c r="BF19" s="25">
        <f t="shared" si="4"/>
        <v>2.9621818763874088E-3</v>
      </c>
      <c r="BG19" s="25">
        <f t="shared" si="4"/>
        <v>1.0239637520487977E-2</v>
      </c>
    </row>
    <row r="20" spans="1:59" s="8" customFormat="1">
      <c r="A20" s="6" t="s">
        <v>78</v>
      </c>
      <c r="B20" s="6"/>
      <c r="C20" s="6"/>
      <c r="D20" s="7">
        <v>0.73199999999999998</v>
      </c>
      <c r="E20" s="7">
        <f>D20</f>
        <v>0.73199999999999998</v>
      </c>
      <c r="F20" s="6">
        <v>2.4E-2</v>
      </c>
      <c r="G20" s="6">
        <v>3.5999999999999997E-2</v>
      </c>
      <c r="H20" s="12">
        <v>15</v>
      </c>
      <c r="I20" s="10">
        <f>'Air equil H2O'!AQ23</f>
        <v>214.71707693987014</v>
      </c>
      <c r="J20" s="11">
        <f>'Air equil H2O'!AS23+'Air equil H2O'!AR23</f>
        <v>8773.0938203611258</v>
      </c>
      <c r="K20" s="16">
        <f>M20/38.6</f>
        <v>405.13373743193279</v>
      </c>
      <c r="L20" s="16">
        <f>J20-K20</f>
        <v>8367.9600829291921</v>
      </c>
      <c r="M20" s="10">
        <f>'Air equil H2O'!AT23</f>
        <v>15638.162264872606</v>
      </c>
      <c r="N20" s="14">
        <f>'Air equil H2O'!AU23</f>
        <v>7.9215581732453952E-2</v>
      </c>
      <c r="O20" s="15">
        <f>'Air equil H2O'!AV23</f>
        <v>0.16685882688464243</v>
      </c>
      <c r="P20" s="6">
        <v>0</v>
      </c>
      <c r="Q20" s="6">
        <v>0</v>
      </c>
      <c r="R20" s="16">
        <f>T20/38.6</f>
        <v>0</v>
      </c>
      <c r="S20" s="16">
        <f>Q20-R20</f>
        <v>0</v>
      </c>
      <c r="T20" s="6">
        <v>0</v>
      </c>
      <c r="U20" s="10">
        <v>0</v>
      </c>
      <c r="V20" s="10">
        <v>0</v>
      </c>
      <c r="W20" s="8">
        <f>H20+273.15</f>
        <v>288.14999999999998</v>
      </c>
      <c r="X20" s="17">
        <f>(2.7182818^(-58.0931+(90.5069*(100/W20))+(22.294*LN(W20/100))))*((0.0821*273.15)+((-1636.75+(12.0408*273.15)-(3.27957*0.01*273.15*273.15)+(3.16528*0.00001*273.15*273.15*273.15))/1000))</f>
        <v>1.0141408451528957</v>
      </c>
      <c r="Y20" s="18">
        <f>(2.7182818^(-55.6578+(82.0262*(100/W20))+(22.5929*LN(W20/100))))</f>
        <v>3.7590932636854077E-2</v>
      </c>
      <c r="Z20" s="18">
        <f>(2.7182818^(9.7265-(5.26895*(1000/W20))+(1.00417*(1000000/(W20*W20))))/1000)</f>
        <v>3.4297045012247444E-2</v>
      </c>
      <c r="AA20" s="18">
        <f>(2.7182818^(-59.6274+(85.7661*(100/W20))+(24.3696*LN(W20/100))))</f>
        <v>1.7036607559908226E-2</v>
      </c>
      <c r="AB20" s="18">
        <f>(2.7182818^(-67.1962+(99.1624*(100/W20))+(27.9015*LN(W20/100))))</f>
        <v>3.8608971142760115E-2</v>
      </c>
      <c r="AC20" s="17">
        <f>2.7182818^(-165.8806+(222.8743*(100/W20))+(92.0792*LN(W20/100))+(-1.48425*(W20/100)^2))*0.0821*273.15</f>
        <v>0.7414614670284706</v>
      </c>
      <c r="AD20" s="8">
        <f>(+P20)/(0.0821*$W20)</f>
        <v>0</v>
      </c>
      <c r="AE20" s="8">
        <f t="shared" si="0"/>
        <v>0</v>
      </c>
      <c r="AF20" s="8">
        <f t="shared" si="0"/>
        <v>0</v>
      </c>
      <c r="AG20" s="8">
        <f t="shared" si="0"/>
        <v>0</v>
      </c>
      <c r="AH20" s="8">
        <f t="shared" si="0"/>
        <v>0</v>
      </c>
      <c r="AI20" s="8">
        <f t="shared" si="0"/>
        <v>0</v>
      </c>
      <c r="AJ20" s="16">
        <f>(I20)/(0.0821*273.15)</f>
        <v>9.5746349404406583</v>
      </c>
      <c r="AK20" s="16">
        <f t="shared" si="1"/>
        <v>18.065668987536476</v>
      </c>
      <c r="AL20" s="16">
        <f t="shared" si="1"/>
        <v>373.14294760385354</v>
      </c>
      <c r="AM20" s="16">
        <f t="shared" si="1"/>
        <v>697.33482291890789</v>
      </c>
      <c r="AN20" s="25">
        <f t="shared" si="1"/>
        <v>3.5323705384424885E-3</v>
      </c>
      <c r="AO20" s="25">
        <f t="shared" si="1"/>
        <v>7.4405463076326972E-3</v>
      </c>
      <c r="AP20" s="26">
        <f>I20*X20*$D20*1/(0.0821*273.15)</f>
        <v>7.1077407672271802</v>
      </c>
      <c r="AQ20" s="17">
        <f>(K20*Y20*$D20)*1/(0.0821*273.15)</f>
        <v>0.49710511323553719</v>
      </c>
      <c r="AR20" s="26">
        <f>(L20*Z20*$D20)*1/(0.0821*273.15)</f>
        <v>9.3679167440195421</v>
      </c>
      <c r="AS20" s="26">
        <f t="shared" si="2"/>
        <v>8.6963208320589516</v>
      </c>
      <c r="AT20" s="27">
        <f t="shared" si="2"/>
        <v>9.9831032678879812E-5</v>
      </c>
      <c r="AU20" s="27">
        <f t="shared" si="2"/>
        <v>4.0383549747094469E-3</v>
      </c>
      <c r="AV20" s="26">
        <f t="shared" si="3"/>
        <v>0.48566990619075429</v>
      </c>
      <c r="AW20" s="26">
        <f t="shared" si="3"/>
        <v>0.45147183977735478</v>
      </c>
      <c r="AX20" s="26">
        <f t="shared" si="3"/>
        <v>9.2926757452771884</v>
      </c>
      <c r="AY20" s="26">
        <f t="shared" si="3"/>
        <v>17.049103300007914</v>
      </c>
      <c r="AZ20" s="28">
        <f t="shared" si="3"/>
        <v>8.8370810099059404E-5</v>
      </c>
      <c r="BA20" s="28">
        <f t="shared" si="3"/>
        <v>3.2395389047272483E-4</v>
      </c>
      <c r="BB20" s="16">
        <f t="shared" si="4"/>
        <v>13.490830727520953</v>
      </c>
      <c r="BC20" s="16">
        <f t="shared" si="4"/>
        <v>12.540884438259855</v>
      </c>
      <c r="BD20" s="16">
        <f t="shared" si="4"/>
        <v>258.12988181325528</v>
      </c>
      <c r="BE20" s="16">
        <f t="shared" si="4"/>
        <v>473.58620277799764</v>
      </c>
      <c r="BF20" s="25">
        <f t="shared" si="4"/>
        <v>2.4547447249738726E-3</v>
      </c>
      <c r="BG20" s="25">
        <f t="shared" si="4"/>
        <v>8.9987191797979132E-3</v>
      </c>
    </row>
    <row r="21" spans="1:59" s="8" customForma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0"/>
      <c r="BC21" s="29"/>
      <c r="BD21" s="29"/>
      <c r="BE21" s="29"/>
      <c r="BF21" s="29"/>
      <c r="BG21" s="29"/>
    </row>
    <row r="22" spans="1:59" s="8" customFormat="1">
      <c r="D22" s="20"/>
      <c r="E22" s="20"/>
      <c r="H22" s="21"/>
      <c r="I22" s="16"/>
      <c r="J22" s="22"/>
      <c r="K22" s="16"/>
      <c r="L22" s="16"/>
      <c r="M22" s="16"/>
      <c r="N22" s="23"/>
      <c r="O22" s="24"/>
      <c r="R22" s="16"/>
      <c r="S22" s="16"/>
      <c r="U22" s="16"/>
      <c r="V22" s="16"/>
      <c r="X22" s="18"/>
      <c r="Y22" s="25"/>
      <c r="Z22" s="25"/>
      <c r="AA22" s="28"/>
      <c r="AB22" s="25"/>
      <c r="AC22" s="17"/>
      <c r="AJ22" s="16"/>
      <c r="AK22" s="16"/>
      <c r="AL22" s="16"/>
      <c r="AM22" s="16"/>
      <c r="AN22" s="18"/>
      <c r="AO22" s="19"/>
      <c r="AP22" s="26"/>
      <c r="AQ22" s="17"/>
      <c r="AR22" s="26"/>
      <c r="AS22" s="26"/>
      <c r="AT22" s="27"/>
      <c r="AU22" s="27"/>
      <c r="AV22" s="26"/>
      <c r="AW22" s="26"/>
      <c r="AX22" s="26"/>
      <c r="AY22" s="26"/>
      <c r="AZ22" s="28"/>
      <c r="BA22" s="28"/>
      <c r="BB22" s="16"/>
      <c r="BC22" s="16"/>
      <c r="BD22" s="16"/>
      <c r="BE22" s="16"/>
      <c r="BF22" s="25"/>
      <c r="BG22" s="25"/>
    </row>
    <row r="23" spans="1:59" s="8" customForma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59" s="8" customFormat="1">
      <c r="D24" s="20"/>
      <c r="E24" s="20"/>
      <c r="H24" s="21"/>
      <c r="I24" s="16"/>
      <c r="J24" s="22"/>
      <c r="K24" s="16"/>
      <c r="L24" s="16"/>
      <c r="M24" s="16"/>
      <c r="N24" s="23"/>
      <c r="O24" s="24"/>
      <c r="R24" s="16"/>
      <c r="S24" s="16"/>
      <c r="U24" s="16"/>
      <c r="V24" s="16"/>
      <c r="X24" s="18"/>
      <c r="Y24" s="25"/>
      <c r="Z24" s="25"/>
      <c r="AA24" s="28"/>
      <c r="AB24" s="25"/>
      <c r="AC24" s="17"/>
      <c r="AJ24" s="16"/>
      <c r="AK24" s="16"/>
      <c r="AL24" s="16"/>
      <c r="AM24" s="16"/>
      <c r="AN24" s="18"/>
      <c r="AO24" s="19"/>
      <c r="AP24" s="26"/>
      <c r="AQ24" s="17"/>
      <c r="AR24" s="26"/>
      <c r="AS24" s="26"/>
      <c r="AT24" s="27"/>
      <c r="AU24" s="27"/>
      <c r="AV24" s="26"/>
      <c r="AW24" s="26"/>
      <c r="AX24" s="26"/>
      <c r="AY24" s="26"/>
      <c r="AZ24" s="28"/>
      <c r="BA24" s="28"/>
      <c r="BB24" s="16"/>
      <c r="BC24" s="16"/>
      <c r="BD24" s="16"/>
      <c r="BE24" s="16"/>
      <c r="BF24" s="25"/>
      <c r="BG24" s="25"/>
    </row>
    <row r="25" spans="1:59" s="8" customFormat="1">
      <c r="D25" s="20"/>
      <c r="E25" s="20"/>
      <c r="H25" s="21"/>
      <c r="I25" s="16"/>
      <c r="J25" s="22"/>
      <c r="K25" s="16"/>
      <c r="L25" s="16"/>
      <c r="M25" s="16"/>
      <c r="N25" s="23"/>
      <c r="O25" s="24"/>
      <c r="R25" s="16"/>
      <c r="S25" s="16"/>
      <c r="U25" s="16"/>
      <c r="V25" s="16"/>
      <c r="X25" s="18"/>
      <c r="Y25" s="25"/>
      <c r="Z25" s="25"/>
      <c r="AA25" s="28"/>
      <c r="AB25" s="25"/>
      <c r="AC25" s="17"/>
      <c r="AJ25" s="16"/>
      <c r="AK25" s="16"/>
      <c r="AL25" s="16"/>
      <c r="AM25" s="16"/>
      <c r="AN25" s="18"/>
      <c r="AO25" s="19"/>
      <c r="AP25" s="26"/>
      <c r="AQ25" s="17"/>
      <c r="AR25" s="26"/>
      <c r="AS25" s="26"/>
      <c r="AT25" s="27"/>
      <c r="AU25" s="27"/>
      <c r="AV25" s="26"/>
      <c r="AW25" s="26"/>
      <c r="AX25" s="26"/>
      <c r="AY25" s="26"/>
      <c r="AZ25" s="28"/>
      <c r="BA25" s="28"/>
      <c r="BB25" s="16"/>
      <c r="BC25" s="16"/>
      <c r="BD25" s="16"/>
      <c r="BE25" s="16"/>
      <c r="BF25" s="25"/>
      <c r="BG25" s="25"/>
    </row>
  </sheetData>
  <phoneticPr fontId="0" type="noConversion"/>
  <pageMargins left="0.5" right="0.5" top="0.5" bottom="0.5" header="0.5" footer="0.5"/>
  <pageSetup orientation="portrait"/>
  <headerFooter>
    <oddFooter>&amp;L&amp;D  ^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Air equil H2O</vt:lpstr>
      <vt:lpstr>Sample analysis</vt:lpstr>
    </vt:vector>
  </TitlesOfParts>
  <Company>Kellogg Biological Station, KBS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K. Hamilton</dc:creator>
  <cp:lastModifiedBy>Stephen Hamilton</cp:lastModifiedBy>
  <dcterms:created xsi:type="dcterms:W3CDTF">2002-03-18T23:43:48Z</dcterms:created>
  <dcterms:modified xsi:type="dcterms:W3CDTF">2014-07-04T15:22:59Z</dcterms:modified>
</cp:coreProperties>
</file>